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CPL 2022\TERMO DE REFERÊNCIA\SUPERVISÃO DE OBRAS\PROCESSO Nº 0305.2022 - Manutenção prédial NUCLEOS\"/>
    </mc:Choice>
  </mc:AlternateContent>
  <bookViews>
    <workbookView xWindow="0" yWindow="0" windowWidth="28800" windowHeight="12435" tabRatio="500"/>
  </bookViews>
  <sheets>
    <sheet name="MANUT__LOTE_03" sheetId="1" r:id="rId1"/>
  </sheets>
  <definedNames>
    <definedName name="__xlfn_BAHTTEXT">"NA()"</definedName>
    <definedName name="_xlnm.Print_Area" localSheetId="0">MANUT__LOTE_03!$A$1:$H$153</definedName>
    <definedName name="Excel_BuiltIn__FilterDatabase" localSheetId="0">MANUT__LOTE_03!$A$20:$G$20</definedName>
    <definedName name="Excel_BuiltIn_Print_Area" localSheetId="0">MANUT__LOTE_03!$A$1:$G$336</definedName>
    <definedName name="Print_Area_0" localSheetId="0">MANUT__LOTE_03!$A$1:$H$154</definedName>
    <definedName name="Print_Titles_0" localSheetId="0">MANUT__LOTE_03!$1:$20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1" i="1" l="1"/>
  <c r="H151" i="1" s="1"/>
  <c r="E151" i="1"/>
  <c r="E149" i="1"/>
  <c r="G149" i="1" s="1"/>
  <c r="H149" i="1" s="1"/>
  <c r="G148" i="1"/>
  <c r="H148" i="1" s="1"/>
  <c r="E148" i="1"/>
  <c r="H146" i="1"/>
  <c r="G146" i="1"/>
  <c r="E145" i="1"/>
  <c r="G145" i="1" s="1"/>
  <c r="H145" i="1" s="1"/>
  <c r="G144" i="1"/>
  <c r="H144" i="1" s="1"/>
  <c r="E144" i="1"/>
  <c r="E143" i="1"/>
  <c r="G143" i="1" s="1"/>
  <c r="H143" i="1" s="1"/>
  <c r="G142" i="1"/>
  <c r="H142" i="1" s="1"/>
  <c r="E142" i="1"/>
  <c r="E140" i="1"/>
  <c r="G140" i="1" s="1"/>
  <c r="H140" i="1" s="1"/>
  <c r="G139" i="1"/>
  <c r="H139" i="1" s="1"/>
  <c r="E139" i="1"/>
  <c r="E138" i="1"/>
  <c r="G138" i="1" s="1"/>
  <c r="H138" i="1" s="1"/>
  <c r="G137" i="1"/>
  <c r="H137" i="1" s="1"/>
  <c r="E137" i="1"/>
  <c r="E135" i="1"/>
  <c r="G135" i="1" s="1"/>
  <c r="H135" i="1" s="1"/>
  <c r="G134" i="1"/>
  <c r="H134" i="1" s="1"/>
  <c r="E134" i="1"/>
  <c r="E133" i="1"/>
  <c r="G133" i="1" s="1"/>
  <c r="H133" i="1" s="1"/>
  <c r="G132" i="1"/>
  <c r="H132" i="1" s="1"/>
  <c r="E132" i="1"/>
  <c r="E129" i="1"/>
  <c r="G129" i="1" s="1"/>
  <c r="H129" i="1" s="1"/>
  <c r="G128" i="1"/>
  <c r="H128" i="1" s="1"/>
  <c r="E128" i="1"/>
  <c r="E127" i="1"/>
  <c r="G127" i="1" s="1"/>
  <c r="H127" i="1" s="1"/>
  <c r="G126" i="1"/>
  <c r="H126" i="1" s="1"/>
  <c r="E126" i="1"/>
  <c r="E125" i="1"/>
  <c r="G125" i="1" s="1"/>
  <c r="H125" i="1" s="1"/>
  <c r="G124" i="1"/>
  <c r="H124" i="1" s="1"/>
  <c r="E124" i="1"/>
  <c r="E123" i="1"/>
  <c r="G123" i="1" s="1"/>
  <c r="H123" i="1" s="1"/>
  <c r="G122" i="1"/>
  <c r="H122" i="1" s="1"/>
  <c r="E122" i="1"/>
  <c r="H121" i="1"/>
  <c r="G121" i="1"/>
  <c r="E120" i="1"/>
  <c r="G120" i="1" s="1"/>
  <c r="H120" i="1" s="1"/>
  <c r="G119" i="1"/>
  <c r="H119" i="1" s="1"/>
  <c r="E119" i="1"/>
  <c r="E118" i="1"/>
  <c r="G118" i="1" s="1"/>
  <c r="H118" i="1" s="1"/>
  <c r="G117" i="1"/>
  <c r="H117" i="1" s="1"/>
  <c r="E117" i="1"/>
  <c r="H116" i="1"/>
  <c r="G116" i="1"/>
  <c r="H115" i="1"/>
  <c r="G115" i="1"/>
  <c r="E114" i="1"/>
  <c r="G114" i="1" s="1"/>
  <c r="H114" i="1" s="1"/>
  <c r="G113" i="1"/>
  <c r="H113" i="1" s="1"/>
  <c r="E113" i="1"/>
  <c r="E112" i="1"/>
  <c r="G112" i="1" s="1"/>
  <c r="H112" i="1" s="1"/>
  <c r="G111" i="1"/>
  <c r="H111" i="1" s="1"/>
  <c r="E111" i="1"/>
  <c r="E110" i="1"/>
  <c r="G110" i="1" s="1"/>
  <c r="H110" i="1" s="1"/>
  <c r="G109" i="1"/>
  <c r="H109" i="1" s="1"/>
  <c r="E109" i="1"/>
  <c r="E108" i="1"/>
  <c r="G108" i="1" s="1"/>
  <c r="H108" i="1" s="1"/>
  <c r="G107" i="1"/>
  <c r="H107" i="1" s="1"/>
  <c r="E107" i="1"/>
  <c r="H105" i="1"/>
  <c r="G105" i="1"/>
  <c r="H104" i="1"/>
  <c r="G104" i="1"/>
  <c r="G103" i="1" s="1"/>
  <c r="E101" i="1"/>
  <c r="G101" i="1" s="1"/>
  <c r="H101" i="1" s="1"/>
  <c r="G100" i="1"/>
  <c r="H100" i="1" s="1"/>
  <c r="E100" i="1"/>
  <c r="E97" i="1"/>
  <c r="G97" i="1" s="1"/>
  <c r="H97" i="1" s="1"/>
  <c r="G96" i="1"/>
  <c r="H96" i="1" s="1"/>
  <c r="G95" i="1"/>
  <c r="H95" i="1" s="1"/>
  <c r="E95" i="1"/>
  <c r="E94" i="1"/>
  <c r="G94" i="1" s="1"/>
  <c r="H94" i="1" s="1"/>
  <c r="G93" i="1"/>
  <c r="H93" i="1" s="1"/>
  <c r="E93" i="1"/>
  <c r="E92" i="1"/>
  <c r="G92" i="1" s="1"/>
  <c r="H92" i="1" s="1"/>
  <c r="G91" i="1"/>
  <c r="H91" i="1" s="1"/>
  <c r="E91" i="1"/>
  <c r="E90" i="1"/>
  <c r="G90" i="1" s="1"/>
  <c r="H90" i="1" s="1"/>
  <c r="G89" i="1"/>
  <c r="H89" i="1" s="1"/>
  <c r="E89" i="1"/>
  <c r="E88" i="1"/>
  <c r="G88" i="1" s="1"/>
  <c r="H88" i="1" s="1"/>
  <c r="G87" i="1"/>
  <c r="H87" i="1" s="1"/>
  <c r="E87" i="1"/>
  <c r="E86" i="1"/>
  <c r="G86" i="1" s="1"/>
  <c r="H86" i="1" s="1"/>
  <c r="G85" i="1"/>
  <c r="H85" i="1" s="1"/>
  <c r="E85" i="1"/>
  <c r="E84" i="1"/>
  <c r="G84" i="1" s="1"/>
  <c r="H84" i="1" s="1"/>
  <c r="G83" i="1"/>
  <c r="H83" i="1" s="1"/>
  <c r="E83" i="1"/>
  <c r="E82" i="1"/>
  <c r="G82" i="1" s="1"/>
  <c r="H82" i="1" s="1"/>
  <c r="G81" i="1"/>
  <c r="H81" i="1" s="1"/>
  <c r="E81" i="1"/>
  <c r="E80" i="1"/>
  <c r="G80" i="1" s="1"/>
  <c r="H80" i="1" s="1"/>
  <c r="G79" i="1"/>
  <c r="H79" i="1" s="1"/>
  <c r="E79" i="1"/>
  <c r="E78" i="1"/>
  <c r="G78" i="1" s="1"/>
  <c r="H78" i="1" s="1"/>
  <c r="G77" i="1"/>
  <c r="H77" i="1" s="1"/>
  <c r="E77" i="1"/>
  <c r="E76" i="1"/>
  <c r="G76" i="1" s="1"/>
  <c r="H76" i="1" s="1"/>
  <c r="G75" i="1"/>
  <c r="H75" i="1" s="1"/>
  <c r="E75" i="1"/>
  <c r="E72" i="1"/>
  <c r="G72" i="1" s="1"/>
  <c r="H72" i="1" s="1"/>
  <c r="G71" i="1"/>
  <c r="H71" i="1" s="1"/>
  <c r="E71" i="1"/>
  <c r="E70" i="1"/>
  <c r="G70" i="1" s="1"/>
  <c r="G68" i="1"/>
  <c r="H68" i="1" s="1"/>
  <c r="E68" i="1"/>
  <c r="E67" i="1"/>
  <c r="G67" i="1" s="1"/>
  <c r="H67" i="1" s="1"/>
  <c r="G66" i="1"/>
  <c r="H66" i="1" s="1"/>
  <c r="E66" i="1"/>
  <c r="E65" i="1"/>
  <c r="G65" i="1" s="1"/>
  <c r="H65" i="1" s="1"/>
  <c r="G64" i="1"/>
  <c r="H64" i="1" s="1"/>
  <c r="E64" i="1"/>
  <c r="H63" i="1"/>
  <c r="G63" i="1"/>
  <c r="E62" i="1"/>
  <c r="G62" i="1" s="1"/>
  <c r="G59" i="1"/>
  <c r="H59" i="1" s="1"/>
  <c r="E59" i="1"/>
  <c r="E58" i="1"/>
  <c r="G58" i="1" s="1"/>
  <c r="H58" i="1" s="1"/>
  <c r="G57" i="1"/>
  <c r="H57" i="1" s="1"/>
  <c r="E57" i="1"/>
  <c r="E56" i="1"/>
  <c r="G56" i="1" s="1"/>
  <c r="H56" i="1" s="1"/>
  <c r="G55" i="1"/>
  <c r="H55" i="1" s="1"/>
  <c r="E55" i="1"/>
  <c r="E54" i="1"/>
  <c r="G54" i="1" s="1"/>
  <c r="G51" i="1"/>
  <c r="H51" i="1" s="1"/>
  <c r="E51" i="1"/>
  <c r="E50" i="1"/>
  <c r="G50" i="1" s="1"/>
  <c r="H50" i="1" s="1"/>
  <c r="G49" i="1"/>
  <c r="H49" i="1" s="1"/>
  <c r="E49" i="1"/>
  <c r="E48" i="1"/>
  <c r="G48" i="1" s="1"/>
  <c r="H48" i="1" s="1"/>
  <c r="G47" i="1"/>
  <c r="H47" i="1" s="1"/>
  <c r="E47" i="1"/>
  <c r="E46" i="1"/>
  <c r="G46" i="1" s="1"/>
  <c r="H46" i="1" s="1"/>
  <c r="G45" i="1"/>
  <c r="H45" i="1" s="1"/>
  <c r="E45" i="1"/>
  <c r="E44" i="1"/>
  <c r="G44" i="1" s="1"/>
  <c r="H44" i="1" s="1"/>
  <c r="G43" i="1"/>
  <c r="H43" i="1" s="1"/>
  <c r="E43" i="1"/>
  <c r="E42" i="1"/>
  <c r="G42" i="1" s="1"/>
  <c r="H42" i="1" s="1"/>
  <c r="G41" i="1"/>
  <c r="H41" i="1" s="1"/>
  <c r="E41" i="1"/>
  <c r="E40" i="1"/>
  <c r="G40" i="1" s="1"/>
  <c r="H40" i="1" s="1"/>
  <c r="G39" i="1"/>
  <c r="H39" i="1" s="1"/>
  <c r="E39" i="1"/>
  <c r="E38" i="1"/>
  <c r="G38" i="1" s="1"/>
  <c r="G36" i="1"/>
  <c r="H36" i="1" s="1"/>
  <c r="E36" i="1"/>
  <c r="E35" i="1"/>
  <c r="G35" i="1" s="1"/>
  <c r="H35" i="1" s="1"/>
  <c r="G34" i="1"/>
  <c r="H34" i="1" s="1"/>
  <c r="E34" i="1"/>
  <c r="E33" i="1"/>
  <c r="G33" i="1" s="1"/>
  <c r="H33" i="1" s="1"/>
  <c r="G32" i="1"/>
  <c r="H32" i="1" s="1"/>
  <c r="E32" i="1"/>
  <c r="E31" i="1"/>
  <c r="G31" i="1" s="1"/>
  <c r="H31" i="1" s="1"/>
  <c r="G30" i="1"/>
  <c r="H30" i="1" s="1"/>
  <c r="E30" i="1"/>
  <c r="E29" i="1"/>
  <c r="G29" i="1" s="1"/>
  <c r="H29" i="1" s="1"/>
  <c r="G28" i="1"/>
  <c r="H28" i="1" s="1"/>
  <c r="E28" i="1"/>
  <c r="E27" i="1"/>
  <c r="G27" i="1" s="1"/>
  <c r="H27" i="1" s="1"/>
  <c r="G26" i="1"/>
  <c r="H26" i="1" s="1"/>
  <c r="E26" i="1"/>
  <c r="H23" i="1"/>
  <c r="G23" i="1"/>
  <c r="H22" i="1"/>
  <c r="G22" i="1"/>
  <c r="G37" i="1" l="1"/>
  <c r="H37" i="1" s="1"/>
  <c r="H38" i="1"/>
  <c r="H54" i="1"/>
  <c r="G53" i="1"/>
  <c r="H70" i="1"/>
  <c r="G69" i="1"/>
  <c r="H69" i="1" s="1"/>
  <c r="H62" i="1"/>
  <c r="G61" i="1"/>
  <c r="H103" i="1"/>
  <c r="G25" i="1"/>
  <c r="G131" i="1"/>
  <c r="G141" i="1"/>
  <c r="H141" i="1" s="1"/>
  <c r="G147" i="1"/>
  <c r="H147" i="1" s="1"/>
  <c r="G150" i="1"/>
  <c r="G74" i="1"/>
  <c r="G99" i="1"/>
  <c r="G106" i="1"/>
  <c r="H106" i="1" s="1"/>
  <c r="G136" i="1"/>
  <c r="H136" i="1" s="1"/>
  <c r="G130" i="1" l="1"/>
  <c r="H130" i="1" s="1"/>
  <c r="H131" i="1"/>
  <c r="H152" i="1"/>
  <c r="H150" i="1"/>
  <c r="H74" i="1"/>
  <c r="G73" i="1"/>
  <c r="H73" i="1" s="1"/>
  <c r="G60" i="1"/>
  <c r="H60" i="1" s="1"/>
  <c r="H61" i="1"/>
  <c r="H53" i="1"/>
  <c r="G52" i="1"/>
  <c r="H52" i="1" s="1"/>
  <c r="G24" i="1"/>
  <c r="H24" i="1" s="1"/>
  <c r="H25" i="1"/>
  <c r="H99" i="1"/>
  <c r="G98" i="1"/>
  <c r="H98" i="1" s="1"/>
  <c r="G102" i="1"/>
  <c r="H102" i="1" s="1"/>
  <c r="H153" i="1" l="1"/>
  <c r="H21" i="1" s="1"/>
</calcChain>
</file>

<file path=xl/sharedStrings.xml><?xml version="1.0" encoding="utf-8"?>
<sst xmlns="http://schemas.openxmlformats.org/spreadsheetml/2006/main" count="499" uniqueCount="371">
  <si>
    <t>MANUTENÇÃO PREDIAL PREVENTIVA E CORRETIVA DOS NÚCLEO DA DEFENSORIAS PÚBLICAS DO ESTADO DO MARANHÃO
LOTE 3</t>
  </si>
  <si>
    <t>LOCAL</t>
  </si>
  <si>
    <t>DEFENSORIA PÚBLICA REGIONAL DE BACABAL</t>
  </si>
  <si>
    <t>ENDEREÇO</t>
  </si>
  <si>
    <t>Rua Barão de Capanema, nº 103, Centro, Bacabal - MA</t>
  </si>
  <si>
    <t>DEFENSORIA PÚBLICA REGIONAL DE PEDREIRAS</t>
  </si>
  <si>
    <t>Rua Benilde Nina, n° 354, Prainha, Pedreiras - MA.</t>
  </si>
  <si>
    <t>DEFENSORIA PÚBLICA REGIONAL DE ESPERANTINÓPOLIS</t>
  </si>
  <si>
    <t>Rua 13 de Maio, nº 45, Centro Esperantinópolis - MA</t>
  </si>
  <si>
    <t>DEFENSORIA PÚBLICA REGIONAL DE LAGO DA PEDRA</t>
  </si>
  <si>
    <t>Rua Ana Sales, nº 17, Planalto.</t>
  </si>
  <si>
    <t>DEFENSORIA PÚBLICA REGIONAL DE CODÓ</t>
  </si>
  <si>
    <t>Rua Nazeu Quadros, nº 03 - São Sebastião, Codó - MA.</t>
  </si>
  <si>
    <t>DEFENSORIA PÚBLICA REGIONAL DE COELHO NETO</t>
  </si>
  <si>
    <t>Av. Antônio Guimarães, S/N, Mutirão - Coelho Neto - MA</t>
  </si>
  <si>
    <t>DEFENSORIA PÚBLICA REGIONAL DE MATÕES</t>
  </si>
  <si>
    <t>Travessa 15 de Novembro, nº 76, Centro. Matões-MA</t>
  </si>
  <si>
    <t>DEFENSORIA PÚBLICA REGIONAL DE TIMON</t>
  </si>
  <si>
    <t>Av. Jaime Rios, 396 Timon-MA</t>
  </si>
  <si>
    <t>SINAPI DEZ/2021 - ORSE DEZ/2021 – SBC-  MARANHÃO SBC - 02/2022 - SLS - São Luís - CONSULTA DE MERCADO FEV/2022</t>
  </si>
  <si>
    <t>ITEM</t>
  </si>
  <si>
    <t>CÓD. SINAPI/CONS. MERCADO</t>
  </si>
  <si>
    <t>DISCRIMINAÇÃO</t>
  </si>
  <si>
    <t>UN</t>
  </si>
  <si>
    <t>QUANT. MÁX.</t>
  </si>
  <si>
    <t>P. UNIT.</t>
  </si>
  <si>
    <t>TOTAL</t>
  </si>
  <si>
    <t>VALOR COM BDI</t>
  </si>
  <si>
    <t>SUB TOTAL (com BDI %)</t>
  </si>
  <si>
    <t>1.0</t>
  </si>
  <si>
    <t>SERVIÇOS PRELIMINARES</t>
  </si>
  <si>
    <t>1.1.1</t>
  </si>
  <si>
    <t>C.M.</t>
  </si>
  <si>
    <t>TAXA DO CREA PARA OBRAS ACIMA R$ 15.000</t>
  </si>
  <si>
    <t>2.0</t>
  </si>
  <si>
    <t>PISOS E PAREDES</t>
  </si>
  <si>
    <t>2.1</t>
  </si>
  <si>
    <t>PISO</t>
  </si>
  <si>
    <t>2.1.1</t>
  </si>
  <si>
    <t>74245/001</t>
  </si>
  <si>
    <t>PINTURA ACRILICA EM PISO CIMENTADO DUAS DEMAOS NA COR CINZA</t>
  </si>
  <si>
    <t>M2</t>
  </si>
  <si>
    <t>2.1.2</t>
  </si>
  <si>
    <t>COMP. PRÓPRIA (DPE-MA)</t>
  </si>
  <si>
    <t>REJUNTAMENTO DE PISO CERÂMICO NA COR PRETA</t>
  </si>
  <si>
    <t>2.1.3</t>
  </si>
  <si>
    <t>RETIRADA DE REVESTIMENTO CERÂMICO 30X30 CM</t>
  </si>
  <si>
    <t>2.1.4</t>
  </si>
  <si>
    <t>87247</t>
  </si>
  <si>
    <t>REVESTIMENTO CERÂMICO PARA PISO COM PLACAS TIPO GRÊS DE DIMENSÕES 35X35 CM APLICADA EM AMBIENTES DE ÁREA ENTRE 5 M2 E 10 M2. AF_06/2014</t>
  </si>
  <si>
    <t>2.1.5</t>
  </si>
  <si>
    <t>02180/ORSE</t>
  </si>
  <si>
    <t xml:space="preserve"> REGULARIZAÇÃO DE BASE PARA REVEST. DE PISO COM ARGAMASSA TRAÇO 1:4, ESPESSURA MÉDIA =2,5CM</t>
  </si>
  <si>
    <t>2.1.6</t>
  </si>
  <si>
    <t>00018/ORSE</t>
  </si>
  <si>
    <t xml:space="preserve"> DEMOLIÇÃO DE PISO CERÂMICO OU LADRILHO</t>
  </si>
  <si>
    <t>2.1.7</t>
  </si>
  <si>
    <t>73616</t>
  </si>
  <si>
    <t>DEMOLICAO DE CONCRETO SIMPLES</t>
  </si>
  <si>
    <t>M3</t>
  </si>
  <si>
    <t>2.1.8</t>
  </si>
  <si>
    <t>DEMOLICAO MANUAL DE PISO / CONTRAPISO</t>
  </si>
  <si>
    <t>2.1.9</t>
  </si>
  <si>
    <t>88648</t>
  </si>
  <si>
    <t>RODAPÉ CERÂMICO DE 7CM DE ALTURA COM PLACAS TIPO ESMALTADA EXTRA DE DIMENSÕES 35X35CM. AF_06/2014</t>
  </si>
  <si>
    <t>M</t>
  </si>
  <si>
    <t>2.1.10</t>
  </si>
  <si>
    <t>02266/ORSE</t>
  </si>
  <si>
    <t xml:space="preserve"> SOLEIRA EM GRANITO CINZA ANDORINHA, L= 15 CM, E= 2CM</t>
  </si>
  <si>
    <t>2.1.11</t>
  </si>
  <si>
    <t>90444</t>
  </si>
  <si>
    <t>RASGO EM CONTRAPISO PARA RAMAIS/ DISTRIBUIÇÃO COM DIÂMETROS MAIORES QUE 40 MM E MENORES QUE 75 MM.AF_05/2015</t>
  </si>
  <si>
    <t>2.2</t>
  </si>
  <si>
    <t>PAREDES</t>
  </si>
  <si>
    <t>2.2.1</t>
  </si>
  <si>
    <t>72215</t>
  </si>
  <si>
    <t>DEMOLICAO DE ALVENARIA DE ELEMENTOS CERAMICOS VAZADOS</t>
  </si>
  <si>
    <t>2.2.2</t>
  </si>
  <si>
    <t>73802/001</t>
  </si>
  <si>
    <t>DEMOLICAO DE REVESTIMENTO DE ARGAMASSA DE CAL E AREIA</t>
  </si>
  <si>
    <t>2.2.3</t>
  </si>
  <si>
    <t>87489</t>
  </si>
  <si>
    <t>ALVENARIA DE VEDAÇÃO DE BLOCOS CERÂMICOS FURADOS NA VERTICAL DE 9X19X39CM (ESPESSURA 9CM) DE PAREDES COM ÁREA LÍQUIDA MAIOR OU IGUAL A 6M² COM VÃOS E ARGAMASSA DE ASSENTAMENTO COM PREPARO EM BETONEIRA</t>
  </si>
  <si>
    <t>2.2.4</t>
  </si>
  <si>
    <t>87878</t>
  </si>
  <si>
    <t>CHAPISCO APLICADO TANTO EM PILARES E VIGAS DE CONCRETO COMO EM ALVENARIAS DE PAREDES INTERNAS, COM COLHER DE PEDREIRO. ARGAMASSA TRAÇO 1:3IAS DE PAREDES INTERNAS, COM COLHER DE PEDREIRO. ARGAMASSA TRAÇO 1:3</t>
  </si>
  <si>
    <t>2.2.5</t>
  </si>
  <si>
    <t>87530</t>
  </si>
  <si>
    <t>MASSA ÚNICA, PARA RECEBIMENTO DE PINTURA, EM ARGAMASSA TRAÇO 1:2:8,PREPARO MECÂNICO COM BETONEIRA 400L, APLICADA MANUALMENTE EM FACES INTERNAS DE PAREDES DE AMBIENTES COM ÁREA MAIOR QUE 10M2, ESPESSURA DE 20MM, COM EXECUÇÃO DE TALISCAS</t>
  </si>
  <si>
    <t>2.2.6</t>
  </si>
  <si>
    <t>88485</t>
  </si>
  <si>
    <t>APLICAÇÃO DE FUNDO SELADOR ACRÍLICO EM PAREDES, UMA DEMÃO. AF_06/2014</t>
  </si>
  <si>
    <t>2.2.7</t>
  </si>
  <si>
    <t>88497</t>
  </si>
  <si>
    <t>APLICAÇÃO E LIXAMENTO DE MASSA LATÉX EM PAREDES, DUAS DEMÃOS</t>
  </si>
  <si>
    <t>2.2.8</t>
  </si>
  <si>
    <t>88487</t>
  </si>
  <si>
    <t>APLICAÇÃO MANUAL DE PINTURA COM TINTA LÁTEX PVA EM PAREDES, DUAS DEMÃOS</t>
  </si>
  <si>
    <t>2.2.9</t>
  </si>
  <si>
    <t>08624/ORSE</t>
  </si>
  <si>
    <t xml:space="preserve"> EMASSAMENTO DE SUPERFÍCIE, COM APLICAÇÃO DE 02 DEMÃOS DE MASSA ACRÍLICA, LIXAMENTO E RETOQUE</t>
  </si>
  <si>
    <t>2.2.10</t>
  </si>
  <si>
    <t>88489</t>
  </si>
  <si>
    <t>APLICAÇÃO MANUAL DE PINTURA COM TINTA LÁTEX ACRÍLICA EM PAREDES, DUAS DEMÃOS</t>
  </si>
  <si>
    <t>2.2.11</t>
  </si>
  <si>
    <t>79334/001</t>
  </si>
  <si>
    <t>PINTURA A BASE DE CAL E FIXADOR A BASE DE COLA, DUAS DEMAOS</t>
  </si>
  <si>
    <t>2.2.12</t>
  </si>
  <si>
    <t>RETIRADA DE REVESTIMENTO CERÂMICO 45X45 CM</t>
  </si>
  <si>
    <t>2.2.13</t>
  </si>
  <si>
    <t>87273</t>
  </si>
  <si>
    <t>REVESTIMENTO CERÂMICO PARA PAREDES INTERNAS COM PLACAS TIPO GRÊS OU SEMI-GRÊS DE DIMENSÕES 33X45 CM APLICADAS EM AMBIENTES DE ÁREA MAIOR QUE 5 M² NA ALTURA INTEIRA DAS PAREDES</t>
  </si>
  <si>
    <t>2.2.14</t>
  </si>
  <si>
    <t>90443</t>
  </si>
  <si>
    <t>RASGO EM ALVENARIA PARA RAMAIS/ DISTRIBUIÇÃO COM DIAMETROS MENORES OU IGUAIS A 40 MM</t>
  </si>
  <si>
    <t>3.0</t>
  </si>
  <si>
    <t>TETO</t>
  </si>
  <si>
    <t>3.1</t>
  </si>
  <si>
    <t>3.1.1</t>
  </si>
  <si>
    <t>01954/ORSE</t>
  </si>
  <si>
    <t xml:space="preserve">FORRO DE GESSO, EM PLACAS 60X60 CM, INCLUSIVE MADEIRAMENTO EM RIPÃO 3,5 CMX 5,5CM </t>
  </si>
  <si>
    <t>3.1.2</t>
  </si>
  <si>
    <t>88496</t>
  </si>
  <si>
    <t>APLICAÇÃO E LIXAMENTO DE MASSA LÁTEX EM TETO, DUAS DEMÃOS. AF_06/2014</t>
  </si>
  <si>
    <t>3.1.3</t>
  </si>
  <si>
    <t>88486</t>
  </si>
  <si>
    <t>APLICAÇÃO MANUAL DE PINTURA COM TINTA LÁTEX PVA EM TETO, DUAS DEMÃOS.</t>
  </si>
  <si>
    <t>3.1.4</t>
  </si>
  <si>
    <t>72238</t>
  </si>
  <si>
    <t>RETIRADA DE FORRO EM REGUAS DE PVC, INCLUSIVE RETIRADA DE PERFIS</t>
  </si>
  <si>
    <t>3.1.5</t>
  </si>
  <si>
    <t>C.M</t>
  </si>
  <si>
    <t>FORRO DE PVC METABIL OU SIMILAR, PLACAS NA COR BRANCA, APLICADO( INCLUSO PERFIS DE FIXAÇÃO)</t>
  </si>
  <si>
    <t>3.1.6</t>
  </si>
  <si>
    <t>88484</t>
  </si>
  <si>
    <t>APLICAÇÃO DE FUNDO SELADOR ACRÍLICO EM TETO, UMA DEMÃO</t>
  </si>
  <si>
    <t>4.0</t>
  </si>
  <si>
    <t>ESQUADRIAS</t>
  </si>
  <si>
    <t>4.1</t>
  </si>
  <si>
    <t>ESQUADRIAS EM MADEIRA</t>
  </si>
  <si>
    <t>4.1.1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</si>
  <si>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</si>
  <si>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AF_08/2015</t>
  </si>
  <si>
    <t>4.1.2</t>
  </si>
  <si>
    <t>90849</t>
  </si>
  <si>
    <t>KIT DE PORTA DE MADEIRA PARA PINTURA, SEMI-OCA (LEVE OU MÉDIA), PADRÃO MÉDIO, 80X210CM, ESPESSURA DE 3,5CM, ITENS INCLUSOS: DOBRADIÇAS, MONTAGEM E INSTALAÇÃO DO BATENTE, SEM FECHADURA - FORNECIMENTO E INSTALAÇÃO. AF_08/2015</t>
  </si>
  <si>
    <t>4.1.3</t>
  </si>
  <si>
    <t>84657</t>
  </si>
  <si>
    <t>FUNDO SINTETICO NIVELADOR BRANCO</t>
  </si>
  <si>
    <t>4.1.4</t>
  </si>
  <si>
    <t>74133/002</t>
  </si>
  <si>
    <t>EMASSAMENTO COM MASSA A OLEO, DUAS DEMAOS</t>
  </si>
  <si>
    <t>4.1.5</t>
  </si>
  <si>
    <t>74065/003</t>
  </si>
  <si>
    <t>PINTURA ESMALTE BRILHANTE PARA MADEIRA, DUAS DEMAOS, SOBRE FUNDO NIVELADOR BRANCO</t>
  </si>
  <si>
    <t>4.1.6</t>
  </si>
  <si>
    <t>72142</t>
  </si>
  <si>
    <t>RETIRADA DE FOLHAS DE PORTA DE PASSAGEM OU JANELA</t>
  </si>
  <si>
    <t>4.1.7</t>
  </si>
  <si>
    <t>72144</t>
  </si>
  <si>
    <t>RECOLOCACAO DE FOLHAS DE PORTA DE PASSAGEM OU JANELA, CONSIDERANDO REAPROVEITAMENTO DO MATERIAL</t>
  </si>
  <si>
    <t>4.2</t>
  </si>
  <si>
    <t>ESQUADRIAS METÁLICAS</t>
  </si>
  <si>
    <t>4.2.1</t>
  </si>
  <si>
    <t>08040/ORSE</t>
  </si>
  <si>
    <t xml:space="preserve"> REMOÇÃO DE PINTURA A BASE ÓLEO OU ESMALTE, UTILIZANDO REMOVEDOR DE TINTA CORAL OU SIMILAR</t>
  </si>
  <si>
    <t>4.2.2</t>
  </si>
  <si>
    <t>6067</t>
  </si>
  <si>
    <t>PINTURA ESMALTE BRILHANTE (2 DEMAOS) SOBRE SUPERFICIE METALICA, INCLUSIVE PROTECAO COM ZARCAO (1 DEMAO)</t>
  </si>
  <si>
    <t>4.2.3</t>
  </si>
  <si>
    <t>MOLA HIDRÁULICA PARA PORTA DE VIDRO</t>
  </si>
  <si>
    <t>5.0</t>
  </si>
  <si>
    <t>INSTALAÇÕES E MATERIAIS ELÉTRICOS E TELEFÔNICOS</t>
  </si>
  <si>
    <t>5.1</t>
  </si>
  <si>
    <t>INSTALAÇÕES E MATERIAIS ELÉTRICOS</t>
  </si>
  <si>
    <t>5.1.1</t>
  </si>
  <si>
    <t>85416</t>
  </si>
  <si>
    <t>REMOCAO DE TOMADAS OU INTERRUPTORES ELETRICOS</t>
  </si>
  <si>
    <t>5.1.2</t>
  </si>
  <si>
    <t>85332</t>
  </si>
  <si>
    <t>RETIRADA DE APARELHOS DE ILUMINACAO C/ REAPROVEITAMENTO DE LAMPADAS</t>
  </si>
  <si>
    <t>5.1.3</t>
  </si>
  <si>
    <t>00555/ORSE</t>
  </si>
  <si>
    <t xml:space="preserve"> REATOR DE PARTIDA RÁPIDA P/ LÂMPADA FLUORESCENTE 2X20 W</t>
  </si>
  <si>
    <t>5.1.4</t>
  </si>
  <si>
    <t>00557ORSE</t>
  </si>
  <si>
    <t xml:space="preserve"> REATOR DE PARTIDA RÁPIDA P/ LÂMPADA FLUORESCENTE 2X40 W</t>
  </si>
  <si>
    <t>5.1.5</t>
  </si>
  <si>
    <t>LAMPADA FLUORESCENTE 40W - FORNECIMENTO E INSTALACAO</t>
  </si>
  <si>
    <t>5.1.6</t>
  </si>
  <si>
    <t>LAMPADA FLUORESCENTE 20W - FORNECIMENTO E INSTALACAO</t>
  </si>
  <si>
    <t>5.1.7</t>
  </si>
  <si>
    <t>INTERRUPTOR SIMPLES (1 MÓDULO), 10A/250V, INCLUINDO SUPORTE E PLACA FORNECIMENTO E INSTALAÇÃO</t>
  </si>
  <si>
    <t>5.1.8</t>
  </si>
  <si>
    <t>INTERRUPTOR SIMPLES (2 MÓDULOS), 10A/250V, INCLUINDO SUPORTE E PLACA FORNECIMENTO E INSTALAÇÃO</t>
  </si>
  <si>
    <t>5.1.9</t>
  </si>
  <si>
    <t>73953/002</t>
  </si>
  <si>
    <t>LUMINARIA TIPO CALHA, DE SOBREPOR, COM REATOR DE PARTIDA RAPIDA E LAMPADA FLUORESCENTE 2X20W, COMPLETA, FORNECIMENTO E INSTALACAO</t>
  </si>
  <si>
    <t>5.1.10</t>
  </si>
  <si>
    <t>73953/006</t>
  </si>
  <si>
    <t>LUMINARIA TIPO CALHA, DE SOBREPOR, COM REATOR DE PARTIDA RAPIDA E LAMPADA FLUORESCENTE 2X40W, COMPLETA, FORNECIMENTO E INSTALACAO</t>
  </si>
  <si>
    <t>5.1.11</t>
  </si>
  <si>
    <t>07780/ORSE</t>
  </si>
  <si>
    <t xml:space="preserve"> LUMINÁRIA DE EMERGÊNCIA 2X8 W G-LIGHT OU SIMILAR</t>
  </si>
  <si>
    <t>5.1.12</t>
  </si>
  <si>
    <t>LUMINARIA ESTANQUE – PROTECAO CONTRA AGUA, POEIRA, OU IMPACTOS – TIPO AQUATIC (TIPO TARTARUGA NA COR BRANCA, 3/4, ALUMÍNIO E VIDRO COM LÂMPADA 25W FLUORESCENTE COMPACTA)</t>
  </si>
  <si>
    <t>5.1.13</t>
  </si>
  <si>
    <t>ELETRODUTO FLEXÍVEL CORRUGADO, PVC, DN 32 MM (1"), PARA CIRCUITOS TERMINAIS, INSTALADO EM FORRO – FORNECIMENTO E INSTALAÇÃO</t>
  </si>
  <si>
    <t>5.1.14</t>
  </si>
  <si>
    <t>ELETRODUTO FLEXÍVEL CORRUGADO, PVC, DN 32 MM (1"), PARA CIRCUITOS TERMINAIS, INSTALADO EM PAREDE – FORNECIMENTO E INSTALAÇÃO</t>
  </si>
  <si>
    <t>5.1.15</t>
  </si>
  <si>
    <t>CABO DE COBRE FLEXÍVEL ISOLADO, 1,5 MM², ANTI-CHAMA 450/750 V, PARA CIRCUITOS TERMINAIS - FORNECIMENTO E INSTALAÇÃO. AF_12/2015</t>
  </si>
  <si>
    <t>5.1.16</t>
  </si>
  <si>
    <t>CABO DE COBRE FLEXÍVEL ISOLADO, 2,5 MM², ANTI-CHAMA 450/750 V, PARA CIRCUITOS TERMINAIS - FORNECIMENTO E INSTALAÇÃO. AF_12/2015</t>
  </si>
  <si>
    <t>5.1.17</t>
  </si>
  <si>
    <t>CABO DE COBRE FLEXÍVEL ISOLADO, 4,0  MM², ANTI-CHAMA 0,6/1,0 KV, PARA CIRCUITOS TERMINAIS - FORNECIMENTO E INSTALAÇÃO</t>
  </si>
  <si>
    <t>5.1.18</t>
  </si>
  <si>
    <t>TOMADA BAIXA DE EMBUTIR (1 MÓDULO), 2P+T 20 A, INCLUINDO SUPORTE E PLACA - FORNECIMENTO E INSTALAÇÃO</t>
  </si>
  <si>
    <t>5.1.19</t>
  </si>
  <si>
    <t>TOMADA BAIXA DE EMBUTIR (2 MÓDULOS), 2P+T 20 A, INCLUINDO SUPORTE E PLACA – FORNECIMENTO E INSTALAÇÃO</t>
  </si>
  <si>
    <t>5.1.20</t>
  </si>
  <si>
    <t>TOMADA  ALTA DE EMBUTIR (1 MÓDULO), 2P+T 20 A, INCLUINDO SUPORTE E PLACA - FORNECIMENTO E INSTALAÇÃO</t>
  </si>
  <si>
    <t>5.1.21</t>
  </si>
  <si>
    <t>TOMADA MÉDIA DE EMBUTIR (2 MÓDULOS), 2P+T 20 A, INCLUINDO SUPORTE E PLACA – FORNECIMENTO E INSTALAÇÃO</t>
  </si>
  <si>
    <t>5.1.22</t>
  </si>
  <si>
    <t>03811/ORSE</t>
  </si>
  <si>
    <t>CANALETA PLÁSTICA 25X25 MM (SCHEINEDER OU SIMILAR)- FORNECIMENTO E INSTALAÇÃO</t>
  </si>
  <si>
    <t>5.1.23</t>
  </si>
  <si>
    <t>74130/001</t>
  </si>
  <si>
    <t>DISJUNTOR TERMOMAGNETICO MONOPOLAR PADRAO NEMA (AMERICANO) 10 A 30A 240V, FORNECIMENTO E INSTALACAO</t>
  </si>
  <si>
    <t>6.0</t>
  </si>
  <si>
    <t>INSTALAÇÕES DE CABEAMENTO ESTRUTURADO</t>
  </si>
  <si>
    <t>6.1</t>
  </si>
  <si>
    <t>CABEAMENTO ESTRUTURADO</t>
  </si>
  <si>
    <t>6.1.1</t>
  </si>
  <si>
    <t>05006/ORSE</t>
  </si>
  <si>
    <t xml:space="preserve"> PONTO PARA CABEAMENTO ESTRUTURADO EMBUTIDO, COM ELETRODUTO PVC RÍGIDO C/CABO UTP 4 PARES CAT 5E</t>
  </si>
  <si>
    <t>6.1.2</t>
  </si>
  <si>
    <t>00697/ORSE</t>
  </si>
  <si>
    <t xml:space="preserve"> FORNECIMENTO E LANÇAMENTO DE CABO UTP 4 PARES CAT 5E</t>
  </si>
  <si>
    <t>7.0</t>
  </si>
  <si>
    <t>INSTALAÇÕES E MATERIAIS HIDROSANITÁRIOS</t>
  </si>
  <si>
    <t>7.1</t>
  </si>
  <si>
    <t>INSTALAÇÕES HIDROSANITÁRIOS</t>
  </si>
  <si>
    <t>7.1.1</t>
  </si>
  <si>
    <t>7.1.2</t>
  </si>
  <si>
    <t>7.2</t>
  </si>
  <si>
    <t>MATERIAIS HIDROSSINATÁRIOS</t>
  </si>
  <si>
    <t>7.2.1</t>
  </si>
  <si>
    <t>89356</t>
  </si>
  <si>
    <t>TUBO, PVC, SOLDÁVEL, DN 25MM, INSTALADO EM RAMAL OU SUB-RAMAL DE ÁGUA - FORNECIMENTO E INSTALAÇÃO</t>
  </si>
  <si>
    <t>7.2.2</t>
  </si>
  <si>
    <t>89383</t>
  </si>
  <si>
    <t>ADAPTADOR CURTO COM BOLSA E ROSCA PARA REGISTRO, PVC, SOLDÁVEL, DN 25M M X 3/4", INSTALADO EM RAMAL OU SUB-RAMAL DE ÁGUA - FORNECIMENTO E INSTALAÇÃO. AF_12/2014_P</t>
  </si>
  <si>
    <t>7.2.3</t>
  </si>
  <si>
    <t>73663</t>
  </si>
  <si>
    <t>REGISTRO DE GAVETA COM CANOPLA Ø 25MM (1) - FORNECIMENTO E INSTALAÇÃO</t>
  </si>
  <si>
    <t>7.2.4</t>
  </si>
  <si>
    <t>89395</t>
  </si>
  <si>
    <t>TE, PVC, SOLDÁVEL, DN 25MM, INSTALADO EM RAMAL OU SUB-RAMAL DE ÁGUA -FORNECIMENTO E INSTALAÇÃO</t>
  </si>
  <si>
    <t>7.2.5</t>
  </si>
  <si>
    <t>89362</t>
  </si>
  <si>
    <t>JOELHO 90 GRAUS, PVC, SOLDÁVEL, DN 25MM, INSTALADO EM RAMAL OU SUB-RAMAL DE ÁGUA - FORNECIMENTO E INSTALAÇÃO</t>
  </si>
  <si>
    <t>7.2.6</t>
  </si>
  <si>
    <t>89378</t>
  </si>
  <si>
    <t>LUVA, PVC, SOLDÁVEL, DN 25MM, INSTALADO EM RAMAL OU SUB-RAMAL DE ÁGUA - FORNECIMENTO E INSTALAÇÃO</t>
  </si>
  <si>
    <t>7.2.7</t>
  </si>
  <si>
    <t>89410</t>
  </si>
  <si>
    <t>CURVA 90 GRAUS, PVC, SOLDÁVEL, DN 25MM, INSTALADO EM RAMAL DE DISTRIBUIÇÃO DE ÁGUA - FORNECIMENTO E INSTALAÇÃO. AF_12/2014_P</t>
  </si>
  <si>
    <t>7.2.8</t>
  </si>
  <si>
    <t>COMP. PRÓPRIA (DPE-MA012)</t>
  </si>
  <si>
    <t>ABRAÇADEIRA EM AÇO, TIPO "D", COM 1'' ( COM CUNHA E PARAFUSO) - FORNECIMENTO E INSTALAÇÃO</t>
  </si>
  <si>
    <t>7.2.9</t>
  </si>
  <si>
    <t>01200/ORSE</t>
  </si>
  <si>
    <t xml:space="preserve"> PONTO DE ÁGUA FRIA EMBUTIDO, C/MATERIAL PVC RÍGIDO SOLDÁVEL Ø 25mm</t>
  </si>
  <si>
    <t>7.2.10</t>
  </si>
  <si>
    <t>89711</t>
  </si>
  <si>
    <t>TUBO PVC, SERIE NORMAL, ESGOTO PREDIAL, DN 40 MM, FORNECIDO E INSTALADO EM RAMAL DE DESCARGA OU RAMAL DE ESGOTO SANITÁRIO. AF_12/2014_P</t>
  </si>
  <si>
    <t>7.2.11</t>
  </si>
  <si>
    <t>89724</t>
  </si>
  <si>
    <t>JOELHO 90 GRAUS, PVC, SERIE NORMAL, ESGOTO PREDIAL, DN 40 MM, JUNTA ELÁSTICA, FORNECIDO E INSTALADO EM RAMAL DE DESCARGA OU RAMAL DE ESGOTO SANITÁRIO. AF_12/2014</t>
  </si>
  <si>
    <t>7.2.12</t>
  </si>
  <si>
    <t>89728</t>
  </si>
  <si>
    <t>CURVA CURTA 90 GRAUS, PVC, SERIE NORMAL, ESGOTO PREDIAL, DN 40 MM, JUNTA ELÁSTICA, FORNECIDO E INSTALADO EM RAMAL DE DESCARGA OU RAMAL DE ESGOTO SANITÁRIO. AF_12/2014</t>
  </si>
  <si>
    <t>7.2.13</t>
  </si>
  <si>
    <t>89754</t>
  </si>
  <si>
    <t>LUVA DE CORRER, PVC, SERIE NORMAL, ESGOTO PREDIAL, DN 50 MM, JUNTA ELÁSTICA, FORNECIDO E INSTALADO EM RAMAL DE DESCARGA OU RAMAL DE ESGOTO SANITÁRIO. AF_12/2014</t>
  </si>
  <si>
    <t>7.2.14</t>
  </si>
  <si>
    <t>89782</t>
  </si>
  <si>
    <t>TE, PVC, SERIE NORMAL, ESGOTO PREDIAL, DN 40 X 40 MM, JUNTA ELÁSTICA - FORNECIDO E INSTALADO EM RAMAL DE DESCARGA OU RAMAL DE ESGOTO SANITÁRI</t>
  </si>
  <si>
    <t>7.2.15</t>
  </si>
  <si>
    <t>89714</t>
  </si>
  <si>
    <t>TUBO PVC, SERIE NORMAL, ESGOTO PREDIAL, DN 100 MM, FORNECIDO E INSTALADO EM RAMAL DE DESCARGA OU RAMAL DE ESGOTO SANITÁRIO. AF_12/2014_P</t>
  </si>
  <si>
    <t>7.2.16</t>
  </si>
  <si>
    <t>86884</t>
  </si>
  <si>
    <t>ENGATE FLEXÍVEL EM PLÁSTICO BRANCO, 1/2" X 30CM - FORNECIMENTO E INSTALAÇÃO. AF_12/2013</t>
  </si>
  <si>
    <t>7.2.17</t>
  </si>
  <si>
    <t>86883</t>
  </si>
  <si>
    <t>SIFÃO DO TIPO FLEXÍVEL EM PVC 3/4" X 1.1/2" - FORNECIMENTO E INSTALAÇÃO. AF_12/2013</t>
  </si>
  <si>
    <t>7.2.18</t>
  </si>
  <si>
    <t>04324/ORSE</t>
  </si>
  <si>
    <t>PAPELEIRA DE PLÁSTICO AKROS OU SIMILAR</t>
  </si>
  <si>
    <t>7.2.19</t>
  </si>
  <si>
    <t>04323/ORSE</t>
  </si>
  <si>
    <t>ASSENTO PARA VASO SANITÁRIO, AP60, LINHA CARRARA/NUOVA/DUNA, PLÁSTICO, DECA OU SIMILAR</t>
  </si>
  <si>
    <t>7.2.20</t>
  </si>
  <si>
    <t>04387/ORSE</t>
  </si>
  <si>
    <t>ASSENTO PARA VASO SANITARIO REMOVÍVEL P/DEFICIENTE FÍSICO, DECA OU SIMILAR</t>
  </si>
  <si>
    <t>7.2.21</t>
  </si>
  <si>
    <t>07611/ORSE</t>
  </si>
  <si>
    <t>PORTA PAPEL-HIGIÊNICO EM INOX</t>
  </si>
  <si>
    <t>7.2.22</t>
  </si>
  <si>
    <t>07609/ORSE</t>
  </si>
  <si>
    <t>SABONETEIRA EM PLÁSTICO ABS, PARA SABONETE LÍQUIDO, DA JSN, REF 17 OU SIMILAR</t>
  </si>
  <si>
    <t>7.2.23</t>
  </si>
  <si>
    <t>KIT DE REPARO CAIXA ACOPLADA</t>
  </si>
  <si>
    <t>8.0</t>
  </si>
  <si>
    <t>LOUÇAS E METAIS</t>
  </si>
  <si>
    <t>8.1</t>
  </si>
  <si>
    <t>LOUÇAS</t>
  </si>
  <si>
    <t>8.1.1</t>
  </si>
  <si>
    <t>85333</t>
  </si>
  <si>
    <t>RETIRADA DE APARELHOS SANITARIOS</t>
  </si>
  <si>
    <t>8.1.2</t>
  </si>
  <si>
    <t>86888</t>
  </si>
  <si>
    <t>VASO SANITÁRIO SIFONADO COM CAIXA ACOPLADA LOUÇA BRANCA - FORNECIMENTO E INSTALAÇÃO. AF_12/2013</t>
  </si>
  <si>
    <t>8.1.3</t>
  </si>
  <si>
    <t>BACIA DE LOUÇA COM ABERTURA FRONTAL P/ PNE, CAIXA DE DESCARGA PVC EXTERNA COMPLETA 9L, ENGATE FLEXÍVEL, BOIA E SUPORTE DE FIXAÇÃO, BOLSA DE LIGAÇÃO E CONJUNTO PARA FIXAÇÃO DE CAIXA DE DESCARGA NA COR BRANCA</t>
  </si>
  <si>
    <t>8.1.4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</si>
  <si>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</si>
  <si>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AF_12/2013</t>
  </si>
  <si>
    <t>8.2</t>
  </si>
  <si>
    <t>METAIS</t>
  </si>
  <si>
    <t>8.2.1</t>
  </si>
  <si>
    <t>86912</t>
  </si>
  <si>
    <t>TORNEIRA CROMADA LONGA, DE PAREDE, 1/2" OU 3/4", PARA PIA DE COZINHA,PADRÃO MÉDIO - FORNECIMENTO E INSTALAÇÃO. AF_12/2013</t>
  </si>
  <si>
    <t>8.2.2</t>
  </si>
  <si>
    <t>86915</t>
  </si>
  <si>
    <t>TORNEIRA CROMADA DE MESA, 1/2" OU 3/4", PARA LAVATÓRIO, PADRÃO MÉDIO - FORNECIMENTO E INSTALAÇÃO. AF_12/2013</t>
  </si>
  <si>
    <t>8.2.3</t>
  </si>
  <si>
    <t>90831</t>
  </si>
  <si>
    <t>FECHADURA DE EMBUTIR PARA PORTA DE BANHEIRO, COMPLETA, ACABAMENTO PADRÃO MÉDIO, INCLUSO EXECUÇÃO DE FURO - FORNECIMENTO E INSTALAÇÃO</t>
  </si>
  <si>
    <t>8.2.4</t>
  </si>
  <si>
    <t>91306</t>
  </si>
  <si>
    <t>FECHADURA DE EMBUTIR PARA PORTAS INTERNAS, COMPLETA, ACABAMENTO PADRÃO MÉDIO, COM EXECUÇÃO DE FURO - FORNECIMENTO E INSTALAÇÃO</t>
  </si>
  <si>
    <t>COBERTURA</t>
  </si>
  <si>
    <t>9.1.1</t>
  </si>
  <si>
    <t>REVISAO GERAL DE TELHADOS DE TELHAS CERAMICAS</t>
  </si>
  <si>
    <t>9.1.2</t>
  </si>
  <si>
    <t>RETIRADA DE TELHAS DE CERAMICAS OU DE VIDRO</t>
  </si>
  <si>
    <t>9.1.3</t>
  </si>
  <si>
    <t>RECOLOCACAO DE TELHAS CERAMICAS TIPO PLAN, CONSIDERANDO REAPROVEITAMENTO DE MATERIAL</t>
  </si>
  <si>
    <t>9.1.4</t>
  </si>
  <si>
    <t>40905</t>
  </si>
  <si>
    <t>VERNIZ SINTETICO EM MADEIRA, DUAS DEMAOS</t>
  </si>
  <si>
    <t>9.1.5</t>
  </si>
  <si>
    <t>55960</t>
  </si>
  <si>
    <t>IMUNIZAÇÃO DE MADEIRAMENTO PARA COBERTURA UTILIZANDO CUPINICIDA INCOLOR</t>
  </si>
  <si>
    <t>LIMPEZA E CARGAS MANUAIS</t>
  </si>
  <si>
    <t>10.1</t>
  </si>
  <si>
    <t>9537</t>
  </si>
  <si>
    <t>LIMPEZA FINAL DA OBRA</t>
  </si>
  <si>
    <t>10.2</t>
  </si>
  <si>
    <t>72897</t>
  </si>
  <si>
    <t>CARGA MANUAL DE ENTULHO EM CAMINHAO BASCULANTE 6 M3</t>
  </si>
  <si>
    <t>MOBILIZAÇÃO E DESMOBILIZAÇÃO</t>
  </si>
  <si>
    <t>11.1</t>
  </si>
  <si>
    <t>DESLOCAMENTOS MÉDIOS ACIMA DE 100KM (IDA E VOLTA) A PARTIR DO PÓLO SEDE DO LOTE</t>
  </si>
  <si>
    <t>KM</t>
  </si>
  <si>
    <t>TOTAL GERAL</t>
  </si>
  <si>
    <t>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</si>
</sst>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;#,##0.00\ ;\-#\ ;@\ "/>
    <numFmt numFmtId="165" formatCode="&quot;R$ &quot;#,##0.00;[Red]&quot;-R$ &quot;#,##0.00"/>
    <numFmt numFmtId="166" formatCode="[$R$-416]#,##0.00\ ;\-[$R$-416]#,##0.00\ ;[$R$-416]\-#\ ;@\ "/>
  </numFmts>
  <fonts count="7">
    <font>
      <sz val="11"/>
      <color rgb="FF000000"/>
      <name val="Arial"/>
      <family val="2"/>
      <charset val="1"/>
    </font>
    <font>
      <sz val="12"/>
      <color rgb="FF000000"/>
      <name val="Ecofont Vera Sans"/>
      <charset val="1"/>
    </font>
    <font>
      <b/>
      <sz val="16"/>
      <color rgb="FF000000"/>
      <name val="Ecofont Vera Sans"/>
      <charset val="1"/>
    </font>
    <font>
      <b/>
      <sz val="12"/>
      <color rgb="FF000000"/>
      <name val="Ecofont Vera Sans"/>
      <charset val="1"/>
    </font>
    <font>
      <sz val="10"/>
      <color rgb="FF000000"/>
      <name val="Arial"/>
      <family val="2"/>
      <charset val="1"/>
    </font>
    <font>
      <sz val="12"/>
      <color rgb="FF333333"/>
      <name val="Ecofont Vera Sans"/>
      <charset val="1"/>
    </font>
    <font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164" fontId="4" fillId="0" borderId="0" applyBorder="0" applyProtection="0"/>
    <xf numFmtId="9" fontId="4" fillId="0" borderId="0" applyBorder="0" applyProtection="0"/>
    <xf numFmtId="0" fontId="6" fillId="0" borderId="0" applyBorder="0" applyProtection="0"/>
  </cellStyleXfs>
  <cellXfs count="115">
    <xf numFmtId="0" fontId="0" fillId="0" borderId="0" xfId="0"/>
    <xf numFmtId="0" fontId="1" fillId="6" borderId="5" xfId="0" applyFont="1" applyFill="1" applyBorder="1"/>
    <xf numFmtId="4" fontId="3" fillId="2" borderId="5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center" vertical="center"/>
    </xf>
    <xf numFmtId="4" fontId="3" fillId="5" borderId="5" xfId="0" applyNumberFormat="1" applyFont="1" applyFill="1" applyBorder="1" applyAlignment="1">
      <alignment horizontal="left" vertical="center"/>
    </xf>
    <xf numFmtId="4" fontId="3" fillId="3" borderId="5" xfId="0" applyNumberFormat="1" applyFont="1" applyFill="1" applyBorder="1" applyAlignment="1">
      <alignment horizontal="left" vertical="center"/>
    </xf>
    <xf numFmtId="4" fontId="3" fillId="0" borderId="4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49" fontId="3" fillId="0" borderId="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3" fillId="0" borderId="3" xfId="0" applyNumberFormat="1" applyFont="1" applyBorder="1"/>
    <xf numFmtId="0" fontId="3" fillId="0" borderId="0" xfId="0" applyFont="1"/>
    <xf numFmtId="49" fontId="1" fillId="0" borderId="2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1" fillId="0" borderId="3" xfId="0" applyNumberFormat="1" applyFont="1" applyBorder="1"/>
    <xf numFmtId="4" fontId="3" fillId="0" borderId="0" xfId="0" applyNumberFormat="1" applyFont="1" applyAlignment="1">
      <alignment horizontal="left"/>
    </xf>
    <xf numFmtId="10" fontId="3" fillId="0" borderId="3" xfId="2" applyNumberFormat="1" applyFont="1" applyBorder="1" applyAlignment="1" applyProtection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11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vertical="center"/>
    </xf>
    <xf numFmtId="4" fontId="3" fillId="2" borderId="6" xfId="0" applyNumberFormat="1" applyFont="1" applyFill="1" applyBorder="1" applyAlignment="1">
      <alignment vertical="center"/>
    </xf>
    <xf numFmtId="4" fontId="3" fillId="2" borderId="7" xfId="0" applyNumberFormat="1" applyFont="1" applyFill="1" applyBorder="1" applyAlignment="1">
      <alignment vertical="center"/>
    </xf>
    <xf numFmtId="4" fontId="3" fillId="2" borderId="8" xfId="0" applyNumberFormat="1" applyFont="1" applyFill="1" applyBorder="1" applyAlignment="1">
      <alignment vertical="center"/>
    </xf>
    <xf numFmtId="165" fontId="3" fillId="2" borderId="8" xfId="1" applyNumberFormat="1" applyFont="1" applyFill="1" applyBorder="1" applyAlignment="1" applyProtection="1">
      <alignment horizontal="center"/>
    </xf>
    <xf numFmtId="0" fontId="3" fillId="3" borderId="5" xfId="0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/>
    <xf numFmtId="4" fontId="1" fillId="0" borderId="5" xfId="0" applyNumberFormat="1" applyFont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/>
    </xf>
    <xf numFmtId="165" fontId="3" fillId="3" borderId="5" xfId="0" applyNumberFormat="1" applyFont="1" applyFill="1" applyBorder="1" applyAlignment="1" applyProtection="1">
      <alignment horizontal="center" vertical="center"/>
      <protection locked="0"/>
    </xf>
    <xf numFmtId="165" fontId="3" fillId="3" borderId="5" xfId="0" applyNumberFormat="1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5" xfId="0" applyNumberFormat="1" applyFont="1" applyFill="1" applyBorder="1" applyAlignment="1">
      <alignment horizontal="left" vertical="center"/>
    </xf>
    <xf numFmtId="165" fontId="3" fillId="5" borderId="5" xfId="0" applyNumberFormat="1" applyFont="1" applyFill="1" applyBorder="1" applyAlignment="1" applyProtection="1">
      <alignment horizontal="center" vertical="center"/>
      <protection locked="0"/>
    </xf>
    <xf numFmtId="165" fontId="3" fillId="5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Border="1" applyAlignment="1">
      <alignment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5" fontId="1" fillId="4" borderId="5" xfId="0" applyNumberFormat="1" applyFont="1" applyFill="1" applyBorder="1" applyAlignment="1" applyProtection="1">
      <alignment horizontal="center" vertical="center"/>
      <protection locked="0"/>
    </xf>
    <xf numFmtId="165" fontId="1" fillId="0" borderId="5" xfId="0" applyNumberFormat="1" applyFont="1" applyBorder="1" applyAlignment="1" applyProtection="1">
      <alignment horizontal="center" vertical="center"/>
      <protection locked="0"/>
    </xf>
    <xf numFmtId="4" fontId="3" fillId="5" borderId="5" xfId="0" applyNumberFormat="1" applyFont="1" applyFill="1" applyBorder="1" applyAlignment="1">
      <alignment vertical="center"/>
    </xf>
    <xf numFmtId="4" fontId="1" fillId="0" borderId="5" xfId="0" applyNumberFormat="1" applyFont="1" applyBorder="1" applyAlignment="1" applyProtection="1">
      <alignment horizontal="center" vertical="center"/>
      <protection hidden="1"/>
    </xf>
    <xf numFmtId="4" fontId="1" fillId="4" borderId="5" xfId="0" applyNumberFormat="1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49" fontId="1" fillId="4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4" fontId="3" fillId="5" borderId="8" xfId="0" applyNumberFormat="1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165" fontId="5" fillId="4" borderId="5" xfId="0" applyNumberFormat="1" applyFont="1" applyFill="1" applyBorder="1" applyAlignment="1">
      <alignment horizontal="center" vertical="center" wrapText="1"/>
    </xf>
    <xf numFmtId="165" fontId="1" fillId="4" borderId="5" xfId="0" applyNumberFormat="1" applyFont="1" applyFill="1" applyBorder="1" applyAlignment="1">
      <alignment horizontal="center" vertical="center"/>
    </xf>
    <xf numFmtId="0" fontId="1" fillId="4" borderId="0" xfId="0" applyFont="1" applyFill="1"/>
    <xf numFmtId="4" fontId="1" fillId="4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vertical="center"/>
    </xf>
    <xf numFmtId="49" fontId="1" fillId="4" borderId="10" xfId="0" applyNumberFormat="1" applyFont="1" applyFill="1" applyBorder="1" applyAlignment="1">
      <alignment horizontal="center"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horizontal="center" vertical="center"/>
    </xf>
    <xf numFmtId="4" fontId="1" fillId="4" borderId="9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horizontal="center" vertical="center" wrapText="1"/>
    </xf>
    <xf numFmtId="165" fontId="5" fillId="4" borderId="5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3" fillId="5" borderId="12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vertical="center"/>
    </xf>
    <xf numFmtId="0" fontId="1" fillId="4" borderId="5" xfId="0" applyFont="1" applyFill="1" applyBorder="1" applyAlignment="1">
      <alignment horizontal="left" vertical="center" wrapText="1"/>
    </xf>
    <xf numFmtId="4" fontId="3" fillId="3" borderId="4" xfId="0" applyNumberFormat="1" applyFont="1" applyFill="1" applyBorder="1" applyAlignment="1" applyProtection="1">
      <alignment vertical="center"/>
      <protection locked="0"/>
    </xf>
    <xf numFmtId="165" fontId="3" fillId="3" borderId="4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3" fillId="5" borderId="12" xfId="0" applyNumberFormat="1" applyFont="1" applyFill="1" applyBorder="1" applyAlignment="1" applyProtection="1">
      <alignment vertical="center"/>
      <protection locked="0"/>
    </xf>
    <xf numFmtId="165" fontId="3" fillId="5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3" applyFont="1" applyBorder="1" applyAlignment="1" applyProtection="1">
      <alignment horizontal="center"/>
    </xf>
    <xf numFmtId="4" fontId="3" fillId="3" borderId="4" xfId="0" applyNumberFormat="1" applyFont="1" applyFill="1" applyBorder="1" applyAlignment="1" applyProtection="1">
      <alignment horizontal="center" vertical="center"/>
      <protection locked="0"/>
    </xf>
    <xf numFmtId="4" fontId="3" fillId="5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/>
    </xf>
    <xf numFmtId="0" fontId="1" fillId="0" borderId="5" xfId="3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" fontId="3" fillId="3" borderId="9" xfId="0" applyNumberFormat="1" applyFont="1" applyFill="1" applyBorder="1" applyAlignment="1">
      <alignment vertical="center"/>
    </xf>
    <xf numFmtId="4" fontId="3" fillId="3" borderId="9" xfId="0" applyNumberFormat="1" applyFont="1" applyFill="1" applyBorder="1" applyAlignment="1" applyProtection="1">
      <alignment horizontal="center" vertical="center"/>
      <protection locked="0"/>
    </xf>
    <xf numFmtId="165" fontId="3" fillId="3" borderId="9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left" vertical="center" wrapText="1"/>
    </xf>
    <xf numFmtId="166" fontId="3" fillId="2" borderId="3" xfId="0" applyNumberFormat="1" applyFont="1" applyFill="1" applyBorder="1" applyAlignment="1">
      <alignment horizontal="right" vertical="center"/>
    </xf>
    <xf numFmtId="166" fontId="1" fillId="0" borderId="0" xfId="0" applyNumberFormat="1" applyFont="1"/>
    <xf numFmtId="164" fontId="3" fillId="2" borderId="8" xfId="1" applyFont="1" applyFill="1" applyBorder="1" applyAlignment="1" applyProtection="1">
      <alignment vertical="center"/>
    </xf>
    <xf numFmtId="0" fontId="3" fillId="6" borderId="5" xfId="0" applyFont="1" applyFill="1" applyBorder="1" applyAlignment="1">
      <alignment horizontal="center"/>
    </xf>
  </cellXfs>
  <cellStyles count="4">
    <cellStyle name="Excel Built-in Explanatory Text" xfId="3"/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5"/>
  <sheetViews>
    <sheetView tabSelected="1" view="pageBreakPreview" topLeftCell="A127" zoomScale="85" zoomScaleNormal="100" zoomScalePageLayoutView="85" workbookViewId="0">
      <selection activeCell="G150" sqref="G150"/>
    </sheetView>
  </sheetViews>
  <sheetFormatPr defaultColWidth="8" defaultRowHeight="15"/>
  <cols>
    <col min="1" max="1" width="12.5" style="10" customWidth="1"/>
    <col min="2" max="2" width="18.5" style="11" customWidth="1"/>
    <col min="3" max="3" width="93.625" style="11" customWidth="1"/>
    <col min="4" max="4" width="6.25" style="10" customWidth="1"/>
    <col min="5" max="5" width="11" style="11" customWidth="1"/>
    <col min="6" max="6" width="11.625" style="11" customWidth="1"/>
    <col min="7" max="7" width="15" style="11" customWidth="1"/>
    <col min="8" max="8" width="18.875" style="11" customWidth="1"/>
    <col min="9" max="9" width="15.25" style="11" customWidth="1"/>
    <col min="10" max="10" width="12.625" style="11" customWidth="1"/>
    <col min="11" max="1024" width="8" style="11"/>
  </cols>
  <sheetData>
    <row r="1" spans="1:8" ht="48.75" customHeight="1">
      <c r="A1" s="9" t="s">
        <v>0</v>
      </c>
      <c r="B1" s="9"/>
      <c r="C1" s="9"/>
      <c r="D1" s="9"/>
      <c r="E1" s="9"/>
      <c r="F1" s="9"/>
      <c r="G1" s="9"/>
      <c r="H1" s="9"/>
    </row>
    <row r="2" spans="1:8" s="16" customFormat="1" ht="15.75">
      <c r="A2" s="12" t="s">
        <v>1</v>
      </c>
      <c r="B2" s="8" t="s">
        <v>2</v>
      </c>
      <c r="C2" s="8"/>
      <c r="D2" s="13"/>
      <c r="E2" s="14"/>
      <c r="F2" s="14"/>
      <c r="G2" s="14"/>
      <c r="H2" s="15"/>
    </row>
    <row r="3" spans="1:8">
      <c r="A3" s="17" t="s">
        <v>3</v>
      </c>
      <c r="B3" s="7" t="s">
        <v>4</v>
      </c>
      <c r="C3" s="7"/>
      <c r="D3" s="18"/>
      <c r="E3" s="19"/>
      <c r="F3" s="19"/>
      <c r="G3" s="19"/>
      <c r="H3" s="20"/>
    </row>
    <row r="4" spans="1:8" s="16" customFormat="1" ht="15.75">
      <c r="A4" s="12" t="s">
        <v>1</v>
      </c>
      <c r="B4" s="8" t="s">
        <v>5</v>
      </c>
      <c r="C4" s="8"/>
      <c r="D4" s="13"/>
      <c r="E4" s="14"/>
      <c r="F4" s="14"/>
      <c r="G4" s="14"/>
      <c r="H4" s="15"/>
    </row>
    <row r="5" spans="1:8">
      <c r="A5" s="17" t="s">
        <v>3</v>
      </c>
      <c r="B5" s="7" t="s">
        <v>6</v>
      </c>
      <c r="C5" s="7"/>
      <c r="D5" s="18"/>
      <c r="E5" s="19"/>
      <c r="F5" s="19"/>
      <c r="G5" s="19"/>
      <c r="H5" s="20"/>
    </row>
    <row r="6" spans="1:8" s="16" customFormat="1" ht="15.75">
      <c r="A6" s="12" t="s">
        <v>1</v>
      </c>
      <c r="B6" s="8" t="s">
        <v>7</v>
      </c>
      <c r="C6" s="8"/>
      <c r="D6" s="13"/>
      <c r="E6" s="14"/>
      <c r="F6" s="14"/>
      <c r="G6" s="14"/>
      <c r="H6" s="15"/>
    </row>
    <row r="7" spans="1:8">
      <c r="A7" s="17" t="s">
        <v>3</v>
      </c>
      <c r="B7" s="7" t="s">
        <v>8</v>
      </c>
      <c r="C7" s="7"/>
      <c r="D7" s="18"/>
      <c r="E7" s="19"/>
      <c r="F7" s="19"/>
      <c r="G7" s="19"/>
      <c r="H7" s="20"/>
    </row>
    <row r="8" spans="1:8" s="16" customFormat="1" ht="15.75">
      <c r="A8" s="12" t="s">
        <v>1</v>
      </c>
      <c r="B8" s="8" t="s">
        <v>9</v>
      </c>
      <c r="C8" s="8"/>
      <c r="D8" s="13"/>
      <c r="E8" s="14"/>
      <c r="F8" s="14"/>
      <c r="G8" s="14"/>
      <c r="H8" s="15"/>
    </row>
    <row r="9" spans="1:8">
      <c r="A9" s="17" t="s">
        <v>3</v>
      </c>
      <c r="B9" s="7" t="s">
        <v>10</v>
      </c>
      <c r="C9" s="7"/>
      <c r="D9" s="18"/>
      <c r="E9" s="19"/>
      <c r="F9" s="19"/>
      <c r="G9" s="19"/>
      <c r="H9" s="20"/>
    </row>
    <row r="10" spans="1:8" s="16" customFormat="1" ht="15.75">
      <c r="A10" s="12" t="s">
        <v>1</v>
      </c>
      <c r="B10" s="8" t="s">
        <v>11</v>
      </c>
      <c r="C10" s="8"/>
      <c r="D10" s="13"/>
      <c r="E10" s="14"/>
      <c r="F10" s="14"/>
      <c r="G10" s="14"/>
      <c r="H10" s="15"/>
    </row>
    <row r="11" spans="1:8">
      <c r="A11" s="17" t="s">
        <v>3</v>
      </c>
      <c r="B11" s="7" t="s">
        <v>12</v>
      </c>
      <c r="C11" s="7"/>
      <c r="D11" s="18"/>
      <c r="E11" s="19"/>
      <c r="F11" s="19"/>
      <c r="G11" s="19"/>
      <c r="H11" s="20"/>
    </row>
    <row r="12" spans="1:8" s="16" customFormat="1" ht="15.75">
      <c r="A12" s="12" t="s">
        <v>1</v>
      </c>
      <c r="B12" s="8" t="s">
        <v>13</v>
      </c>
      <c r="C12" s="8"/>
      <c r="D12" s="13"/>
      <c r="E12" s="14"/>
      <c r="F12" s="14"/>
      <c r="G12" s="14"/>
      <c r="H12" s="15"/>
    </row>
    <row r="13" spans="1:8">
      <c r="A13" s="17" t="s">
        <v>3</v>
      </c>
      <c r="B13" s="7" t="s">
        <v>14</v>
      </c>
      <c r="C13" s="7"/>
      <c r="D13" s="18"/>
      <c r="E13" s="19"/>
      <c r="F13" s="19"/>
      <c r="G13" s="19"/>
      <c r="H13" s="20"/>
    </row>
    <row r="14" spans="1:8" s="16" customFormat="1" ht="15.75">
      <c r="A14" s="12" t="s">
        <v>1</v>
      </c>
      <c r="B14" s="8" t="s">
        <v>15</v>
      </c>
      <c r="C14" s="8"/>
      <c r="D14" s="13"/>
      <c r="E14" s="14"/>
      <c r="F14" s="14"/>
      <c r="G14" s="14"/>
      <c r="H14" s="15"/>
    </row>
    <row r="15" spans="1:8">
      <c r="A15" s="17" t="s">
        <v>3</v>
      </c>
      <c r="B15" s="7" t="s">
        <v>16</v>
      </c>
      <c r="C15" s="7"/>
      <c r="D15" s="18"/>
      <c r="E15" s="19"/>
      <c r="F15" s="19"/>
      <c r="G15" s="19"/>
      <c r="H15" s="20"/>
    </row>
    <row r="16" spans="1:8" s="16" customFormat="1" ht="15.75">
      <c r="A16" s="12" t="s">
        <v>1</v>
      </c>
      <c r="B16" s="8" t="s">
        <v>17</v>
      </c>
      <c r="C16" s="8"/>
      <c r="D16" s="13"/>
      <c r="E16" s="14"/>
      <c r="F16" s="14"/>
      <c r="G16" s="14"/>
      <c r="H16" s="15"/>
    </row>
    <row r="17" spans="1:10">
      <c r="A17" s="17" t="s">
        <v>3</v>
      </c>
      <c r="B17" s="7" t="s">
        <v>18</v>
      </c>
      <c r="C17" s="7"/>
      <c r="D17" s="18"/>
      <c r="E17" s="19"/>
      <c r="F17" s="19"/>
      <c r="G17" s="19"/>
      <c r="H17" s="20"/>
    </row>
    <row r="18" spans="1:10" ht="15.75">
      <c r="A18" s="17"/>
      <c r="B18" s="21"/>
      <c r="C18" s="13"/>
      <c r="D18" s="18"/>
      <c r="E18" s="19"/>
      <c r="F18" s="19"/>
      <c r="G18" s="19"/>
      <c r="H18" s="20"/>
    </row>
    <row r="19" spans="1:10" ht="15.75">
      <c r="A19" s="6" t="s">
        <v>19</v>
      </c>
      <c r="B19" s="6"/>
      <c r="C19" s="6"/>
      <c r="D19" s="6"/>
      <c r="E19" s="6"/>
      <c r="F19" s="6"/>
      <c r="G19" s="6"/>
      <c r="H19" s="22">
        <v>0.22470000000000001</v>
      </c>
    </row>
    <row r="20" spans="1:10" ht="47.25">
      <c r="A20" s="23" t="s">
        <v>20</v>
      </c>
      <c r="B20" s="24" t="s">
        <v>21</v>
      </c>
      <c r="C20" s="25" t="s">
        <v>22</v>
      </c>
      <c r="D20" s="25" t="s">
        <v>23</v>
      </c>
      <c r="E20" s="26" t="s">
        <v>24</v>
      </c>
      <c r="F20" s="25" t="s">
        <v>25</v>
      </c>
      <c r="G20" s="25" t="s">
        <v>26</v>
      </c>
      <c r="H20" s="24" t="s">
        <v>27</v>
      </c>
      <c r="I20" s="16"/>
      <c r="J20" s="16"/>
    </row>
    <row r="21" spans="1:10" ht="15.75">
      <c r="A21" s="23"/>
      <c r="B21" s="27"/>
      <c r="C21" s="27"/>
      <c r="D21" s="27"/>
      <c r="E21" s="28" t="s">
        <v>28</v>
      </c>
      <c r="F21" s="29"/>
      <c r="G21" s="30"/>
      <c r="H21" s="31">
        <f>H153</f>
        <v>604212.43739764392</v>
      </c>
    </row>
    <row r="22" spans="1:10" ht="15.75">
      <c r="A22" s="32" t="s">
        <v>29</v>
      </c>
      <c r="B22" s="5" t="s">
        <v>30</v>
      </c>
      <c r="C22" s="5"/>
      <c r="D22" s="5"/>
      <c r="E22" s="5"/>
      <c r="F22" s="5"/>
      <c r="G22" s="33">
        <f>SUM(G23:G23)</f>
        <v>1871.52</v>
      </c>
      <c r="H22" s="33">
        <f t="shared" ref="H22:H53" si="0">G22*(1+$H$19)</f>
        <v>2292.0505439999997</v>
      </c>
    </row>
    <row r="23" spans="1:10">
      <c r="A23" s="34" t="s">
        <v>31</v>
      </c>
      <c r="B23" s="35" t="s">
        <v>32</v>
      </c>
      <c r="C23" s="36" t="s">
        <v>33</v>
      </c>
      <c r="D23" s="37" t="s">
        <v>23</v>
      </c>
      <c r="E23" s="37">
        <v>8</v>
      </c>
      <c r="F23" s="38">
        <v>233.94</v>
      </c>
      <c r="G23" s="39">
        <f>E23*F23</f>
        <v>1871.52</v>
      </c>
      <c r="H23" s="39">
        <f t="shared" si="0"/>
        <v>2292.0505439999997</v>
      </c>
    </row>
    <row r="24" spans="1:10" ht="15.75">
      <c r="A24" s="32" t="s">
        <v>34</v>
      </c>
      <c r="B24" s="40" t="s">
        <v>35</v>
      </c>
      <c r="C24" s="40"/>
      <c r="D24" s="40"/>
      <c r="E24" s="40"/>
      <c r="F24" s="41"/>
      <c r="G24" s="42">
        <f>SUM(G25,G37)</f>
        <v>197947.13712</v>
      </c>
      <c r="H24" s="42">
        <f t="shared" si="0"/>
        <v>242425.85883086399</v>
      </c>
    </row>
    <row r="25" spans="1:10" ht="15.75">
      <c r="A25" s="43" t="s">
        <v>36</v>
      </c>
      <c r="B25" s="44" t="s">
        <v>37</v>
      </c>
      <c r="C25" s="44"/>
      <c r="D25" s="44"/>
      <c r="E25" s="44"/>
      <c r="F25" s="45"/>
      <c r="G25" s="46">
        <f>SUM(G26:G36)</f>
        <v>43754.93789999999</v>
      </c>
      <c r="H25" s="46">
        <f t="shared" si="0"/>
        <v>53586.672446129982</v>
      </c>
    </row>
    <row r="26" spans="1:10">
      <c r="A26" s="34" t="s">
        <v>38</v>
      </c>
      <c r="B26" s="35" t="s">
        <v>39</v>
      </c>
      <c r="C26" s="47" t="s">
        <v>40</v>
      </c>
      <c r="D26" s="37" t="s">
        <v>41</v>
      </c>
      <c r="E26" s="37">
        <f>(152.02+157.87+35.68+11.09+117+20+326.62+15+18.75+180)*0.8</f>
        <v>827.22400000000005</v>
      </c>
      <c r="F26" s="48">
        <v>13.83</v>
      </c>
      <c r="G26" s="39">
        <f>E26*F26</f>
        <v>11440.50792</v>
      </c>
      <c r="H26" s="39">
        <f t="shared" si="0"/>
        <v>14011.190049624</v>
      </c>
    </row>
    <row r="27" spans="1:10" ht="30">
      <c r="A27" s="34" t="s">
        <v>42</v>
      </c>
      <c r="B27" s="49" t="s">
        <v>43</v>
      </c>
      <c r="C27" s="47" t="s">
        <v>44</v>
      </c>
      <c r="D27" s="37" t="s">
        <v>41</v>
      </c>
      <c r="E27" s="37">
        <f>(30+20+15+20+31+25.19+30+25+12.5+15)*0.8</f>
        <v>178.952</v>
      </c>
      <c r="F27" s="50">
        <v>3.69</v>
      </c>
      <c r="G27" s="39">
        <f>E27*F27</f>
        <v>660.33287999999993</v>
      </c>
      <c r="H27" s="39">
        <f t="shared" si="0"/>
        <v>808.70967813599987</v>
      </c>
    </row>
    <row r="28" spans="1:10" ht="30">
      <c r="A28" s="34" t="s">
        <v>45</v>
      </c>
      <c r="B28" s="49" t="s">
        <v>43</v>
      </c>
      <c r="C28" s="47" t="s">
        <v>46</v>
      </c>
      <c r="D28" s="37" t="s">
        <v>41</v>
      </c>
      <c r="E28" s="37">
        <f>(30+25+22+25+31+15.5+30+20+12.5+30)*0.8</f>
        <v>192.8</v>
      </c>
      <c r="F28" s="50">
        <v>5.2</v>
      </c>
      <c r="G28" s="39">
        <f>E28*F28</f>
        <v>1002.5600000000001</v>
      </c>
      <c r="H28" s="39">
        <f t="shared" si="0"/>
        <v>1227.8352319999999</v>
      </c>
    </row>
    <row r="29" spans="1:10" ht="30">
      <c r="A29" s="34" t="s">
        <v>47</v>
      </c>
      <c r="B29" s="35" t="s">
        <v>48</v>
      </c>
      <c r="C29" s="47" t="s">
        <v>49</v>
      </c>
      <c r="D29" s="37" t="s">
        <v>41</v>
      </c>
      <c r="E29" s="37">
        <f>30+25+22+25+31+15.5+30+20+12.5+30</f>
        <v>241</v>
      </c>
      <c r="F29" s="48">
        <v>54.88</v>
      </c>
      <c r="G29" s="39">
        <f>E29*F29</f>
        <v>13226.08</v>
      </c>
      <c r="H29" s="39">
        <f t="shared" si="0"/>
        <v>16197.980175999999</v>
      </c>
    </row>
    <row r="30" spans="1:10" ht="30">
      <c r="A30" s="34" t="s">
        <v>50</v>
      </c>
      <c r="B30" s="35" t="s">
        <v>51</v>
      </c>
      <c r="C30" s="47" t="s">
        <v>52</v>
      </c>
      <c r="D30" s="37" t="s">
        <v>41</v>
      </c>
      <c r="E30" s="37">
        <f>30+25+22+25+31+15.5+30+20+12.53+30</f>
        <v>241.03</v>
      </c>
      <c r="F30" s="48">
        <v>21.39</v>
      </c>
      <c r="G30" s="39">
        <f>F30*E30</f>
        <v>5155.6316999999999</v>
      </c>
      <c r="H30" s="39">
        <f t="shared" si="0"/>
        <v>6314.1021429899993</v>
      </c>
    </row>
    <row r="31" spans="1:10">
      <c r="A31" s="34" t="s">
        <v>53</v>
      </c>
      <c r="B31" s="35" t="s">
        <v>54</v>
      </c>
      <c r="C31" s="47" t="s">
        <v>55</v>
      </c>
      <c r="D31" s="37" t="s">
        <v>41</v>
      </c>
      <c r="E31" s="37">
        <f>10+25+22+25+20+20+15+20+12.5+30</f>
        <v>199.5</v>
      </c>
      <c r="F31" s="48">
        <v>11.14</v>
      </c>
      <c r="G31" s="39">
        <f t="shared" ref="G31:G36" si="1">E31*F31</f>
        <v>2222.4300000000003</v>
      </c>
      <c r="H31" s="39">
        <f t="shared" si="0"/>
        <v>2721.8100210000002</v>
      </c>
    </row>
    <row r="32" spans="1:10">
      <c r="A32" s="34" t="s">
        <v>56</v>
      </c>
      <c r="B32" s="35" t="s">
        <v>57</v>
      </c>
      <c r="C32" s="47" t="s">
        <v>58</v>
      </c>
      <c r="D32" s="37" t="s">
        <v>59</v>
      </c>
      <c r="E32" s="37">
        <f>20</f>
        <v>20</v>
      </c>
      <c r="F32" s="39">
        <v>176.68</v>
      </c>
      <c r="G32" s="39">
        <f t="shared" si="1"/>
        <v>3533.6000000000004</v>
      </c>
      <c r="H32" s="39">
        <f t="shared" si="0"/>
        <v>4327.5999199999997</v>
      </c>
    </row>
    <row r="33" spans="1:9" ht="30">
      <c r="A33" s="34" t="s">
        <v>60</v>
      </c>
      <c r="B33" s="49" t="s">
        <v>43</v>
      </c>
      <c r="C33" s="47" t="s">
        <v>61</v>
      </c>
      <c r="D33" s="37" t="s">
        <v>59</v>
      </c>
      <c r="E33" s="37">
        <f>20</f>
        <v>20</v>
      </c>
      <c r="F33" s="51">
        <v>11.21</v>
      </c>
      <c r="G33" s="39">
        <f t="shared" si="1"/>
        <v>224.20000000000002</v>
      </c>
      <c r="H33" s="39">
        <f t="shared" si="0"/>
        <v>274.57774000000001</v>
      </c>
    </row>
    <row r="34" spans="1:9" ht="30">
      <c r="A34" s="34" t="s">
        <v>62</v>
      </c>
      <c r="B34" s="35" t="s">
        <v>63</v>
      </c>
      <c r="C34" s="47" t="s">
        <v>64</v>
      </c>
      <c r="D34" s="37" t="s">
        <v>65</v>
      </c>
      <c r="E34" s="37">
        <f>20+13+15+20+54.26+18.65+15+30+16.16+15</f>
        <v>217.07</v>
      </c>
      <c r="F34" s="48">
        <v>7.22</v>
      </c>
      <c r="G34" s="39">
        <f t="shared" si="1"/>
        <v>1567.2453999999998</v>
      </c>
      <c r="H34" s="39">
        <f t="shared" si="0"/>
        <v>1919.4054413799995</v>
      </c>
    </row>
    <row r="35" spans="1:9">
      <c r="A35" s="34" t="s">
        <v>66</v>
      </c>
      <c r="B35" s="35" t="s">
        <v>67</v>
      </c>
      <c r="C35" s="47" t="s">
        <v>68</v>
      </c>
      <c r="D35" s="37" t="s">
        <v>65</v>
      </c>
      <c r="E35" s="37">
        <f>3+3+5+5+5+6+5+5+2.5+3</f>
        <v>42.5</v>
      </c>
      <c r="F35" s="48">
        <v>65.02</v>
      </c>
      <c r="G35" s="39">
        <f t="shared" si="1"/>
        <v>2763.35</v>
      </c>
      <c r="H35" s="39">
        <f t="shared" si="0"/>
        <v>3384.2747449999997</v>
      </c>
    </row>
    <row r="36" spans="1:9" ht="30">
      <c r="A36" s="34" t="s">
        <v>69</v>
      </c>
      <c r="B36" s="35" t="s">
        <v>70</v>
      </c>
      <c r="C36" s="47" t="s">
        <v>71</v>
      </c>
      <c r="D36" s="37" t="s">
        <v>65</v>
      </c>
      <c r="E36" s="37">
        <f>100</f>
        <v>100</v>
      </c>
      <c r="F36" s="48">
        <v>19.59</v>
      </c>
      <c r="G36" s="39">
        <f t="shared" si="1"/>
        <v>1959</v>
      </c>
      <c r="H36" s="39">
        <f t="shared" si="0"/>
        <v>2399.1872999999996</v>
      </c>
    </row>
    <row r="37" spans="1:9" ht="15.75">
      <c r="A37" s="43" t="s">
        <v>72</v>
      </c>
      <c r="B37" s="52" t="s">
        <v>73</v>
      </c>
      <c r="C37" s="52"/>
      <c r="D37" s="52"/>
      <c r="E37" s="52"/>
      <c r="F37" s="45"/>
      <c r="G37" s="46">
        <f>SUM(G38:G51)</f>
        <v>154192.19922000001</v>
      </c>
      <c r="H37" s="46">
        <f t="shared" si="0"/>
        <v>188839.186384734</v>
      </c>
    </row>
    <row r="38" spans="1:9">
      <c r="A38" s="34" t="s">
        <v>74</v>
      </c>
      <c r="B38" s="35" t="s">
        <v>75</v>
      </c>
      <c r="C38" s="47" t="s">
        <v>76</v>
      </c>
      <c r="D38" s="37" t="s">
        <v>59</v>
      </c>
      <c r="E38" s="53">
        <f>3+3+5+6+5+5+5+3+1.82+3</f>
        <v>39.82</v>
      </c>
      <c r="F38" s="48">
        <v>37.6</v>
      </c>
      <c r="G38" s="39">
        <f t="shared" ref="G38:G51" si="2">E38*F38</f>
        <v>1497.232</v>
      </c>
      <c r="H38" s="39">
        <f t="shared" si="0"/>
        <v>1833.6600303999999</v>
      </c>
    </row>
    <row r="39" spans="1:9">
      <c r="A39" s="34" t="s">
        <v>77</v>
      </c>
      <c r="B39" s="35" t="s">
        <v>78</v>
      </c>
      <c r="C39" s="47" t="s">
        <v>79</v>
      </c>
      <c r="D39" s="37" t="s">
        <v>41</v>
      </c>
      <c r="E39" s="53">
        <f>85+75+89.29+180.61+135.6+59.37+97.6+118.14+48.48+48</f>
        <v>937.09</v>
      </c>
      <c r="F39" s="48">
        <v>7.52</v>
      </c>
      <c r="G39" s="39">
        <f t="shared" si="2"/>
        <v>7046.9168</v>
      </c>
      <c r="H39" s="39">
        <f t="shared" si="0"/>
        <v>8630.3590049599989</v>
      </c>
    </row>
    <row r="40" spans="1:9" ht="45">
      <c r="A40" s="34" t="s">
        <v>80</v>
      </c>
      <c r="B40" s="49" t="s">
        <v>81</v>
      </c>
      <c r="C40" s="54" t="s">
        <v>82</v>
      </c>
      <c r="D40" s="37" t="s">
        <v>41</v>
      </c>
      <c r="E40" s="53">
        <f>30+15+30+40+30+30+34+20+12.12+30</f>
        <v>271.12</v>
      </c>
      <c r="F40" s="48">
        <v>52.1</v>
      </c>
      <c r="G40" s="39">
        <f t="shared" si="2"/>
        <v>14125.352000000001</v>
      </c>
      <c r="H40" s="39">
        <f t="shared" si="0"/>
        <v>17299.3185944</v>
      </c>
    </row>
    <row r="41" spans="1:9" ht="45">
      <c r="A41" s="34" t="s">
        <v>83</v>
      </c>
      <c r="B41" s="35" t="s">
        <v>84</v>
      </c>
      <c r="C41" s="47" t="s">
        <v>85</v>
      </c>
      <c r="D41" s="37" t="s">
        <v>41</v>
      </c>
      <c r="E41" s="53">
        <f>60+30+60+80+60+60+68+40+24.24+60</f>
        <v>542.24</v>
      </c>
      <c r="F41" s="48">
        <v>3.46</v>
      </c>
      <c r="G41" s="39">
        <f t="shared" si="2"/>
        <v>1876.1504</v>
      </c>
      <c r="H41" s="39">
        <f t="shared" si="0"/>
        <v>2297.7213948799999</v>
      </c>
    </row>
    <row r="42" spans="1:9" ht="60">
      <c r="A42" s="34" t="s">
        <v>86</v>
      </c>
      <c r="B42" s="35" t="s">
        <v>87</v>
      </c>
      <c r="C42" s="55" t="s">
        <v>88</v>
      </c>
      <c r="D42" s="37" t="s">
        <v>41</v>
      </c>
      <c r="E42" s="53">
        <f>60+30+60+80+60+60+68+40+24.24+60</f>
        <v>542.24</v>
      </c>
      <c r="F42" s="48">
        <v>30.08</v>
      </c>
      <c r="G42" s="39">
        <f t="shared" si="2"/>
        <v>16310.5792</v>
      </c>
      <c r="H42" s="39">
        <f t="shared" si="0"/>
        <v>19975.566346239997</v>
      </c>
    </row>
    <row r="43" spans="1:9">
      <c r="A43" s="34" t="s">
        <v>89</v>
      </c>
      <c r="B43" s="49" t="s">
        <v>90</v>
      </c>
      <c r="C43" s="54" t="s">
        <v>91</v>
      </c>
      <c r="D43" s="37" t="s">
        <v>41</v>
      </c>
      <c r="E43" s="53">
        <f>30+60+60+80+60+60+68+40+24.24+60</f>
        <v>542.24</v>
      </c>
      <c r="F43" s="48">
        <v>1.94</v>
      </c>
      <c r="G43" s="39">
        <f t="shared" si="2"/>
        <v>1051.9456</v>
      </c>
      <c r="H43" s="39">
        <f t="shared" si="0"/>
        <v>1288.3177763199999</v>
      </c>
    </row>
    <row r="44" spans="1:9">
      <c r="A44" s="34" t="s">
        <v>92</v>
      </c>
      <c r="B44" s="35" t="s">
        <v>93</v>
      </c>
      <c r="C44" s="47" t="s">
        <v>94</v>
      </c>
      <c r="D44" s="37" t="s">
        <v>41</v>
      </c>
      <c r="E44" s="53">
        <f>60+30+52+110+100+90+85+80+96.96+110</f>
        <v>813.96</v>
      </c>
      <c r="F44" s="48">
        <v>11.99</v>
      </c>
      <c r="G44" s="39">
        <f t="shared" si="2"/>
        <v>9759.3804</v>
      </c>
      <c r="H44" s="39">
        <f t="shared" si="0"/>
        <v>11952.313175879999</v>
      </c>
    </row>
    <row r="45" spans="1:9">
      <c r="A45" s="34" t="s">
        <v>95</v>
      </c>
      <c r="B45" s="35" t="s">
        <v>96</v>
      </c>
      <c r="C45" s="47" t="s">
        <v>97</v>
      </c>
      <c r="D45" s="37" t="s">
        <v>41</v>
      </c>
      <c r="E45" s="53">
        <f>(238.77+392.32+223.23+466.53+684+298.34+488+393.79+242.4+1388.48)*0.8</f>
        <v>3852.6880000000006</v>
      </c>
      <c r="F45" s="48">
        <v>11.54</v>
      </c>
      <c r="G45" s="39">
        <f t="shared" si="2"/>
        <v>44460.019520000002</v>
      </c>
      <c r="H45" s="39">
        <f t="shared" si="0"/>
        <v>54450.185906143997</v>
      </c>
    </row>
    <row r="46" spans="1:9" ht="30">
      <c r="A46" s="34" t="s">
        <v>98</v>
      </c>
      <c r="B46" s="35" t="s">
        <v>99</v>
      </c>
      <c r="C46" s="47" t="s">
        <v>100</v>
      </c>
      <c r="D46" s="37" t="s">
        <v>41</v>
      </c>
      <c r="E46" s="53">
        <f>10+32.5+22.3+15.54+27.3+5+29.3+10.23+6.75+20</f>
        <v>178.92</v>
      </c>
      <c r="F46" s="48">
        <v>15.98</v>
      </c>
      <c r="G46" s="39">
        <f t="shared" si="2"/>
        <v>2859.1415999999999</v>
      </c>
      <c r="H46" s="39">
        <f t="shared" si="0"/>
        <v>3501.5907175199995</v>
      </c>
    </row>
    <row r="47" spans="1:9">
      <c r="A47" s="34" t="s">
        <v>101</v>
      </c>
      <c r="B47" s="35" t="s">
        <v>102</v>
      </c>
      <c r="C47" s="47" t="s">
        <v>103</v>
      </c>
      <c r="D47" s="37" t="s">
        <v>41</v>
      </c>
      <c r="E47" s="53">
        <f>(558.06+429.1+55.75+192.91+273+35.75+293+45+134.97+638.86)*0.8</f>
        <v>2125.1200000000003</v>
      </c>
      <c r="F47" s="48">
        <v>13.04</v>
      </c>
      <c r="G47" s="39">
        <f t="shared" si="2"/>
        <v>27711.564800000004</v>
      </c>
      <c r="H47" s="39">
        <f t="shared" si="0"/>
        <v>33938.353410560005</v>
      </c>
      <c r="I47" s="19"/>
    </row>
    <row r="48" spans="1:9">
      <c r="A48" s="34" t="s">
        <v>104</v>
      </c>
      <c r="B48" s="49" t="s">
        <v>105</v>
      </c>
      <c r="C48" s="47" t="s">
        <v>106</v>
      </c>
      <c r="D48" s="37" t="s">
        <v>41</v>
      </c>
      <c r="E48" s="53">
        <f>191.64+150+103.88+79.25+345.34+15+402.19+173.21+332.46+125.56</f>
        <v>1918.53</v>
      </c>
      <c r="F48" s="48">
        <v>6.99</v>
      </c>
      <c r="G48" s="39">
        <f t="shared" si="2"/>
        <v>13410.5247</v>
      </c>
      <c r="H48" s="39">
        <f t="shared" si="0"/>
        <v>16423.869600089998</v>
      </c>
    </row>
    <row r="49" spans="1:8" ht="30">
      <c r="A49" s="34" t="s">
        <v>107</v>
      </c>
      <c r="B49" s="49" t="s">
        <v>43</v>
      </c>
      <c r="C49" s="47" t="s">
        <v>108</v>
      </c>
      <c r="D49" s="37" t="s">
        <v>41</v>
      </c>
      <c r="E49" s="53">
        <f>10+10+12+20+15+15+20+10+8.62+19</f>
        <v>139.62</v>
      </c>
      <c r="F49" s="50">
        <v>12</v>
      </c>
      <c r="G49" s="39">
        <f t="shared" si="2"/>
        <v>1675.44</v>
      </c>
      <c r="H49" s="39">
        <f t="shared" si="0"/>
        <v>2051.911368</v>
      </c>
    </row>
    <row r="50" spans="1:8" ht="45">
      <c r="A50" s="34" t="s">
        <v>109</v>
      </c>
      <c r="B50" s="49" t="s">
        <v>110</v>
      </c>
      <c r="C50" s="56" t="s">
        <v>111</v>
      </c>
      <c r="D50" s="37" t="s">
        <v>41</v>
      </c>
      <c r="E50" s="53">
        <f>12+20+15+15+20+10+8.62+19</f>
        <v>119.62</v>
      </c>
      <c r="F50" s="48">
        <v>63.81</v>
      </c>
      <c r="G50" s="39">
        <f t="shared" si="2"/>
        <v>7632.9522000000006</v>
      </c>
      <c r="H50" s="39">
        <f t="shared" si="0"/>
        <v>9348.0765593399992</v>
      </c>
    </row>
    <row r="51" spans="1:8" ht="30">
      <c r="A51" s="34" t="s">
        <v>112</v>
      </c>
      <c r="B51" s="49" t="s">
        <v>113</v>
      </c>
      <c r="C51" s="57" t="s">
        <v>114</v>
      </c>
      <c r="D51" s="37" t="s">
        <v>65</v>
      </c>
      <c r="E51" s="53">
        <f>500</f>
        <v>500</v>
      </c>
      <c r="F51" s="48">
        <v>9.5500000000000007</v>
      </c>
      <c r="G51" s="39">
        <f t="shared" si="2"/>
        <v>4775</v>
      </c>
      <c r="H51" s="39">
        <f t="shared" si="0"/>
        <v>5847.9424999999992</v>
      </c>
    </row>
    <row r="52" spans="1:8" ht="15.75">
      <c r="A52" s="58" t="s">
        <v>115</v>
      </c>
      <c r="B52" s="59" t="s">
        <v>116</v>
      </c>
      <c r="C52" s="59"/>
      <c r="D52" s="59"/>
      <c r="E52" s="59"/>
      <c r="F52" s="41"/>
      <c r="G52" s="42">
        <f>SUM(G53)</f>
        <v>18536.667799999999</v>
      </c>
      <c r="H52" s="42">
        <f t="shared" si="0"/>
        <v>22701.857054659999</v>
      </c>
    </row>
    <row r="53" spans="1:8" ht="15.75">
      <c r="A53" s="60" t="s">
        <v>117</v>
      </c>
      <c r="B53" s="61" t="s">
        <v>116</v>
      </c>
      <c r="C53" s="52"/>
      <c r="D53" s="52"/>
      <c r="E53" s="52"/>
      <c r="F53" s="45"/>
      <c r="G53" s="46">
        <f>SUM(G54:G59)</f>
        <v>18536.667799999999</v>
      </c>
      <c r="H53" s="46">
        <f t="shared" si="0"/>
        <v>22701.857054659999</v>
      </c>
    </row>
    <row r="54" spans="1:8" s="69" customFormat="1" ht="30">
      <c r="A54" s="62" t="s">
        <v>118</v>
      </c>
      <c r="B54" s="63" t="s">
        <v>119</v>
      </c>
      <c r="C54" s="64" t="s">
        <v>120</v>
      </c>
      <c r="D54" s="65" t="s">
        <v>41</v>
      </c>
      <c r="E54" s="66">
        <f>35+25</f>
        <v>60</v>
      </c>
      <c r="F54" s="67">
        <v>82.14</v>
      </c>
      <c r="G54" s="68">
        <f>E54*F54</f>
        <v>4928.3999999999996</v>
      </c>
      <c r="H54" s="68">
        <f t="shared" ref="H54:H85" si="3">G54*(1+$H$19)</f>
        <v>6035.8114799999994</v>
      </c>
    </row>
    <row r="55" spans="1:8" s="69" customFormat="1">
      <c r="A55" s="62" t="s">
        <v>121</v>
      </c>
      <c r="B55" s="49" t="s">
        <v>122</v>
      </c>
      <c r="C55" s="54" t="s">
        <v>123</v>
      </c>
      <c r="D55" s="70" t="s">
        <v>41</v>
      </c>
      <c r="E55" s="71">
        <f>45</f>
        <v>45</v>
      </c>
      <c r="F55" s="38">
        <v>21.46</v>
      </c>
      <c r="G55" s="68">
        <f>E55*F55</f>
        <v>965.7</v>
      </c>
      <c r="H55" s="68">
        <f t="shared" si="3"/>
        <v>1182.6927900000001</v>
      </c>
    </row>
    <row r="56" spans="1:8" s="69" customFormat="1">
      <c r="A56" s="62" t="s">
        <v>124</v>
      </c>
      <c r="B56" s="49" t="s">
        <v>125</v>
      </c>
      <c r="C56" s="54" t="s">
        <v>126</v>
      </c>
      <c r="D56" s="70" t="s">
        <v>41</v>
      </c>
      <c r="E56" s="71">
        <f>132.03+189.59+50</f>
        <v>371.62</v>
      </c>
      <c r="F56" s="38">
        <v>12.58</v>
      </c>
      <c r="G56" s="68">
        <f>E56*F56</f>
        <v>4674.9795999999997</v>
      </c>
      <c r="H56" s="68">
        <f t="shared" si="3"/>
        <v>5725.4475161199989</v>
      </c>
    </row>
    <row r="57" spans="1:8">
      <c r="A57" s="62" t="s">
        <v>127</v>
      </c>
      <c r="B57" s="72" t="s">
        <v>128</v>
      </c>
      <c r="C57" s="73" t="s">
        <v>129</v>
      </c>
      <c r="D57" s="74" t="s">
        <v>41</v>
      </c>
      <c r="E57" s="75">
        <f>45+25+25+6.25+45</f>
        <v>146.25</v>
      </c>
      <c r="F57" s="38">
        <v>6.55</v>
      </c>
      <c r="G57" s="68">
        <f>E57*F57</f>
        <v>957.9375</v>
      </c>
      <c r="H57" s="68">
        <f t="shared" si="3"/>
        <v>1173.1860562499999</v>
      </c>
    </row>
    <row r="58" spans="1:8" ht="30">
      <c r="A58" s="62" t="s">
        <v>130</v>
      </c>
      <c r="B58" s="76" t="s">
        <v>131</v>
      </c>
      <c r="C58" s="54" t="s">
        <v>132</v>
      </c>
      <c r="D58" s="70" t="s">
        <v>41</v>
      </c>
      <c r="E58" s="71">
        <f>45+25+25+6.25+45</f>
        <v>146.25</v>
      </c>
      <c r="F58" s="50">
        <v>45.39</v>
      </c>
      <c r="G58" s="68">
        <f>E58*F58</f>
        <v>6638.2875000000004</v>
      </c>
      <c r="H58" s="68">
        <f t="shared" si="3"/>
        <v>8129.9107012499999</v>
      </c>
    </row>
    <row r="59" spans="1:8">
      <c r="A59" s="62" t="s">
        <v>133</v>
      </c>
      <c r="B59" s="76" t="s">
        <v>134</v>
      </c>
      <c r="C59" s="54" t="s">
        <v>135</v>
      </c>
      <c r="D59" s="70" t="s">
        <v>41</v>
      </c>
      <c r="E59" s="71">
        <f>56+58.32+50</f>
        <v>164.32</v>
      </c>
      <c r="F59" s="77">
        <v>2.2599999999999998</v>
      </c>
      <c r="G59" s="68">
        <f>F59*E59</f>
        <v>371.36319999999995</v>
      </c>
      <c r="H59" s="68">
        <f t="shared" si="3"/>
        <v>454.80851103999993</v>
      </c>
    </row>
    <row r="60" spans="1:8" ht="15.75">
      <c r="A60" s="78" t="s">
        <v>136</v>
      </c>
      <c r="B60" s="59" t="s">
        <v>137</v>
      </c>
      <c r="C60" s="59"/>
      <c r="D60" s="59"/>
      <c r="E60" s="59"/>
      <c r="F60" s="41"/>
      <c r="G60" s="42">
        <f>SUM(G61,G69)</f>
        <v>76143.479200000002</v>
      </c>
      <c r="H60" s="42">
        <f t="shared" si="3"/>
        <v>93252.918976239991</v>
      </c>
    </row>
    <row r="61" spans="1:8" ht="15.75">
      <c r="A61" s="79" t="s">
        <v>138</v>
      </c>
      <c r="B61" s="80" t="s">
        <v>139</v>
      </c>
      <c r="C61" s="80"/>
      <c r="D61" s="80"/>
      <c r="E61" s="80"/>
      <c r="F61" s="45"/>
      <c r="G61" s="46">
        <f>SUM(G62:G68)</f>
        <v>47226.651399999995</v>
      </c>
      <c r="H61" s="46">
        <f t="shared" si="3"/>
        <v>57838.479969579988</v>
      </c>
    </row>
    <row r="62" spans="1:8" ht="60">
      <c r="A62" s="34" t="s">
        <v>140</v>
      </c>
      <c r="B62" s="35" t="s">
        <v>141</v>
      </c>
      <c r="C62" s="56" t="s">
        <v>142</v>
      </c>
      <c r="D62" s="37" t="s">
        <v>23</v>
      </c>
      <c r="E62" s="81">
        <f>1+1+1+1+1+1+1+1+1</f>
        <v>9</v>
      </c>
      <c r="F62" s="48">
        <v>915.84</v>
      </c>
      <c r="G62" s="39">
        <f t="shared" ref="G62:G68" si="4">E62*F62</f>
        <v>8242.56</v>
      </c>
      <c r="H62" s="39">
        <f t="shared" si="3"/>
        <v>10094.663231999999</v>
      </c>
    </row>
    <row r="63" spans="1:8" ht="45">
      <c r="A63" s="34" t="s">
        <v>143</v>
      </c>
      <c r="B63" s="35" t="s">
        <v>144</v>
      </c>
      <c r="C63" s="56" t="s">
        <v>145</v>
      </c>
      <c r="D63" s="37" t="s">
        <v>23</v>
      </c>
      <c r="E63" s="81">
        <v>10</v>
      </c>
      <c r="F63" s="48">
        <v>700.25</v>
      </c>
      <c r="G63" s="39">
        <f t="shared" si="4"/>
        <v>7002.5</v>
      </c>
      <c r="H63" s="39">
        <f t="shared" si="3"/>
        <v>8575.9617499999986</v>
      </c>
    </row>
    <row r="64" spans="1:8">
      <c r="A64" s="34" t="s">
        <v>146</v>
      </c>
      <c r="B64" s="35" t="s">
        <v>147</v>
      </c>
      <c r="C64" s="56" t="s">
        <v>148</v>
      </c>
      <c r="D64" s="37" t="s">
        <v>41</v>
      </c>
      <c r="E64" s="81">
        <f>70+66.94+44.55+71.54+38+36.65+106+84.15+8.93+154.17</f>
        <v>680.93</v>
      </c>
      <c r="F64" s="48">
        <v>8.56</v>
      </c>
      <c r="G64" s="39">
        <f t="shared" si="4"/>
        <v>5828.7608</v>
      </c>
      <c r="H64" s="39">
        <f t="shared" si="3"/>
        <v>7138.4833517599991</v>
      </c>
    </row>
    <row r="65" spans="1:8">
      <c r="A65" s="34" t="s">
        <v>149</v>
      </c>
      <c r="B65" s="35" t="s">
        <v>150</v>
      </c>
      <c r="C65" s="47" t="s">
        <v>151</v>
      </c>
      <c r="D65" s="37" t="s">
        <v>41</v>
      </c>
      <c r="E65" s="81">
        <f>35+30+44.55+71.54+38+36.65+45+33.66+22.54+55</f>
        <v>411.94</v>
      </c>
      <c r="F65" s="48">
        <v>18.72</v>
      </c>
      <c r="G65" s="39">
        <f t="shared" si="4"/>
        <v>7711.5167999999994</v>
      </c>
      <c r="H65" s="39">
        <f t="shared" si="3"/>
        <v>9444.2946249599991</v>
      </c>
    </row>
    <row r="66" spans="1:8" ht="30">
      <c r="A66" s="34" t="s">
        <v>152</v>
      </c>
      <c r="B66" s="35" t="s">
        <v>153</v>
      </c>
      <c r="C66" s="47" t="s">
        <v>154</v>
      </c>
      <c r="D66" s="37" t="s">
        <v>41</v>
      </c>
      <c r="E66" s="81">
        <f>70+66.94+44.55+71.54+38+36.65+106+84.15+22.54+154.17</f>
        <v>694.54</v>
      </c>
      <c r="F66" s="48">
        <v>22.47</v>
      </c>
      <c r="G66" s="39">
        <f t="shared" si="4"/>
        <v>15606.313799999998</v>
      </c>
      <c r="H66" s="39">
        <f t="shared" si="3"/>
        <v>19113.052510859998</v>
      </c>
    </row>
    <row r="67" spans="1:8">
      <c r="A67" s="34" t="s">
        <v>155</v>
      </c>
      <c r="B67" s="49" t="s">
        <v>156</v>
      </c>
      <c r="C67" s="56" t="s">
        <v>157</v>
      </c>
      <c r="D67" s="37" t="s">
        <v>23</v>
      </c>
      <c r="E67" s="81">
        <f>3+3+3+3+4+2+3+2+8+4</f>
        <v>35</v>
      </c>
      <c r="F67" s="48">
        <v>8.8699999999999992</v>
      </c>
      <c r="G67" s="39">
        <f t="shared" si="4"/>
        <v>310.45</v>
      </c>
      <c r="H67" s="39">
        <f t="shared" si="3"/>
        <v>380.20811499999996</v>
      </c>
    </row>
    <row r="68" spans="1:8" ht="30">
      <c r="A68" s="34" t="s">
        <v>158</v>
      </c>
      <c r="B68" s="49" t="s">
        <v>159</v>
      </c>
      <c r="C68" s="56" t="s">
        <v>160</v>
      </c>
      <c r="D68" s="37" t="s">
        <v>23</v>
      </c>
      <c r="E68" s="81">
        <f>3+3+3+3+4+2+3+2+8+4</f>
        <v>35</v>
      </c>
      <c r="F68" s="48">
        <v>72.13</v>
      </c>
      <c r="G68" s="39">
        <f t="shared" si="4"/>
        <v>2524.5499999999997</v>
      </c>
      <c r="H68" s="39">
        <f t="shared" si="3"/>
        <v>3091.8163849999996</v>
      </c>
    </row>
    <row r="69" spans="1:8" ht="15.75">
      <c r="A69" s="79" t="s">
        <v>161</v>
      </c>
      <c r="B69" s="52" t="s">
        <v>162</v>
      </c>
      <c r="C69" s="52"/>
      <c r="D69" s="52"/>
      <c r="E69" s="52"/>
      <c r="F69" s="45"/>
      <c r="G69" s="46">
        <f>SUM(G70:G72)</f>
        <v>28916.827800000003</v>
      </c>
      <c r="H69" s="46">
        <f t="shared" si="3"/>
        <v>35414.439006660003</v>
      </c>
    </row>
    <row r="70" spans="1:8" ht="30">
      <c r="A70" s="34" t="s">
        <v>163</v>
      </c>
      <c r="B70" s="35" t="s">
        <v>164</v>
      </c>
      <c r="C70" s="47" t="s">
        <v>165</v>
      </c>
      <c r="D70" s="37" t="s">
        <v>41</v>
      </c>
      <c r="E70" s="37">
        <f>(65+50.98+50.98+63.72+43+21+66+110+55.5+26)*0.9</f>
        <v>496.96199999999999</v>
      </c>
      <c r="F70" s="48">
        <v>9.09</v>
      </c>
      <c r="G70" s="39">
        <f>F70*E70</f>
        <v>4517.3845799999999</v>
      </c>
      <c r="H70" s="39">
        <f t="shared" si="3"/>
        <v>5532.4408951259993</v>
      </c>
    </row>
    <row r="71" spans="1:8" ht="30">
      <c r="A71" s="34" t="s">
        <v>166</v>
      </c>
      <c r="B71" s="35" t="s">
        <v>167</v>
      </c>
      <c r="C71" s="47" t="s">
        <v>168</v>
      </c>
      <c r="D71" s="37" t="s">
        <v>41</v>
      </c>
      <c r="E71" s="37">
        <f>(65+50.98+50.98+63.72+43+21+66+110+55.5+26)*0.9</f>
        <v>496.96199999999999</v>
      </c>
      <c r="F71" s="48">
        <v>37.81</v>
      </c>
      <c r="G71" s="39">
        <f>E71*F71</f>
        <v>18790.13322</v>
      </c>
      <c r="H71" s="39">
        <f t="shared" si="3"/>
        <v>23012.276154533996</v>
      </c>
    </row>
    <row r="72" spans="1:8">
      <c r="A72" s="34" t="s">
        <v>169</v>
      </c>
      <c r="B72" s="35" t="s">
        <v>131</v>
      </c>
      <c r="C72" s="47" t="s">
        <v>170</v>
      </c>
      <c r="D72" s="37" t="s">
        <v>23</v>
      </c>
      <c r="E72" s="37">
        <f>3+1+1+1+1</f>
        <v>7</v>
      </c>
      <c r="F72" s="48">
        <v>801.33</v>
      </c>
      <c r="G72" s="39">
        <f>F72*E72</f>
        <v>5609.31</v>
      </c>
      <c r="H72" s="39">
        <f t="shared" si="3"/>
        <v>6869.7219569999997</v>
      </c>
    </row>
    <row r="73" spans="1:8" ht="15.75">
      <c r="A73" s="78" t="s">
        <v>171</v>
      </c>
      <c r="B73" s="59" t="s">
        <v>172</v>
      </c>
      <c r="C73" s="59"/>
      <c r="D73" s="59"/>
      <c r="E73" s="59"/>
      <c r="F73" s="41"/>
      <c r="G73" s="42">
        <f>SUM(G74)</f>
        <v>73867.12999999999</v>
      </c>
      <c r="H73" s="42">
        <f t="shared" si="3"/>
        <v>90465.07411099998</v>
      </c>
    </row>
    <row r="74" spans="1:8" ht="15.75">
      <c r="A74" s="79" t="s">
        <v>173</v>
      </c>
      <c r="B74" s="82" t="s">
        <v>174</v>
      </c>
      <c r="C74" s="82"/>
      <c r="D74" s="82"/>
      <c r="E74" s="82"/>
      <c r="F74" s="45"/>
      <c r="G74" s="46">
        <f>SUM(G75:G97)</f>
        <v>73867.12999999999</v>
      </c>
      <c r="H74" s="46">
        <f t="shared" si="3"/>
        <v>90465.07411099998</v>
      </c>
    </row>
    <row r="75" spans="1:8">
      <c r="A75" s="34" t="s">
        <v>175</v>
      </c>
      <c r="B75" s="35" t="s">
        <v>176</v>
      </c>
      <c r="C75" s="47" t="s">
        <v>177</v>
      </c>
      <c r="D75" s="37" t="s">
        <v>23</v>
      </c>
      <c r="E75" s="81">
        <f>15+20+15+13+30+12+15+19+10+33</f>
        <v>182</v>
      </c>
      <c r="F75" s="38">
        <v>12.19</v>
      </c>
      <c r="G75" s="39">
        <f t="shared" ref="G75:G97" si="5">E75*F75</f>
        <v>2218.58</v>
      </c>
      <c r="H75" s="39">
        <f t="shared" si="3"/>
        <v>2717.0949259999998</v>
      </c>
    </row>
    <row r="76" spans="1:8">
      <c r="A76" s="34" t="s">
        <v>178</v>
      </c>
      <c r="B76" s="35" t="s">
        <v>179</v>
      </c>
      <c r="C76" s="47" t="s">
        <v>180</v>
      </c>
      <c r="D76" s="37" t="s">
        <v>23</v>
      </c>
      <c r="E76" s="81">
        <f>30+26+9+17+40+15+19+10+7+30</f>
        <v>203</v>
      </c>
      <c r="F76" s="38">
        <v>4.97</v>
      </c>
      <c r="G76" s="39">
        <f t="shared" si="5"/>
        <v>1008.91</v>
      </c>
      <c r="H76" s="39">
        <f t="shared" si="3"/>
        <v>1235.6120769999998</v>
      </c>
    </row>
    <row r="77" spans="1:8">
      <c r="A77" s="34" t="s">
        <v>181</v>
      </c>
      <c r="B77" s="35" t="s">
        <v>182</v>
      </c>
      <c r="C77" s="47" t="s">
        <v>183</v>
      </c>
      <c r="D77" s="37" t="s">
        <v>23</v>
      </c>
      <c r="E77" s="81">
        <f>19+10+3+6+20+3+5+6+2+9</f>
        <v>83</v>
      </c>
      <c r="F77" s="38">
        <v>24.46</v>
      </c>
      <c r="G77" s="39">
        <f t="shared" si="5"/>
        <v>2030.18</v>
      </c>
      <c r="H77" s="39">
        <f t="shared" si="3"/>
        <v>2486.3614459999999</v>
      </c>
    </row>
    <row r="78" spans="1:8">
      <c r="A78" s="34" t="s">
        <v>184</v>
      </c>
      <c r="B78" s="35" t="s">
        <v>185</v>
      </c>
      <c r="C78" s="47" t="s">
        <v>186</v>
      </c>
      <c r="D78" s="37" t="s">
        <v>23</v>
      </c>
      <c r="E78" s="81">
        <f>19+16+6+8+20+5+8+16+4+15</f>
        <v>117</v>
      </c>
      <c r="F78" s="38">
        <v>32.47</v>
      </c>
      <c r="G78" s="39">
        <f t="shared" si="5"/>
        <v>3798.99</v>
      </c>
      <c r="H78" s="39">
        <f t="shared" si="3"/>
        <v>4652.6230529999993</v>
      </c>
    </row>
    <row r="79" spans="1:8">
      <c r="A79" s="34" t="s">
        <v>187</v>
      </c>
      <c r="B79" s="83">
        <v>83469</v>
      </c>
      <c r="C79" s="47" t="s">
        <v>188</v>
      </c>
      <c r="D79" s="37" t="s">
        <v>23</v>
      </c>
      <c r="E79" s="81">
        <f>30+32+12+16+40+15+30+30+4+30</f>
        <v>239</v>
      </c>
      <c r="F79" s="38">
        <v>8.17</v>
      </c>
      <c r="G79" s="39">
        <f t="shared" si="5"/>
        <v>1952.6299999999999</v>
      </c>
      <c r="H79" s="39">
        <f t="shared" si="3"/>
        <v>2391.3859609999995</v>
      </c>
    </row>
    <row r="80" spans="1:8">
      <c r="A80" s="34" t="s">
        <v>189</v>
      </c>
      <c r="B80" s="83">
        <v>83468</v>
      </c>
      <c r="C80" s="47" t="s">
        <v>190</v>
      </c>
      <c r="D80" s="37" t="s">
        <v>23</v>
      </c>
      <c r="E80" s="81">
        <f>10+15+6+5+20+7+10+2+18</f>
        <v>93</v>
      </c>
      <c r="F80" s="38">
        <v>8.17</v>
      </c>
      <c r="G80" s="39">
        <f t="shared" si="5"/>
        <v>759.81</v>
      </c>
      <c r="H80" s="39">
        <f t="shared" si="3"/>
        <v>930.53930699999989</v>
      </c>
    </row>
    <row r="81" spans="1:8" ht="30">
      <c r="A81" s="34" t="s">
        <v>191</v>
      </c>
      <c r="B81" s="83">
        <v>91953</v>
      </c>
      <c r="C81" s="47" t="s">
        <v>192</v>
      </c>
      <c r="D81" s="37" t="s">
        <v>23</v>
      </c>
      <c r="E81" s="81">
        <f>4+3+3+2+5+2+2+2+2+3</f>
        <v>28</v>
      </c>
      <c r="F81" s="38">
        <v>20.61</v>
      </c>
      <c r="G81" s="39">
        <f t="shared" si="5"/>
        <v>577.07999999999993</v>
      </c>
      <c r="H81" s="39">
        <f t="shared" si="3"/>
        <v>706.74987599999986</v>
      </c>
    </row>
    <row r="82" spans="1:8" ht="30">
      <c r="A82" s="34" t="s">
        <v>193</v>
      </c>
      <c r="B82" s="83">
        <v>91959</v>
      </c>
      <c r="C82" s="47" t="s">
        <v>194</v>
      </c>
      <c r="D82" s="37" t="s">
        <v>23</v>
      </c>
      <c r="E82" s="81">
        <f>2+1+1+1+5+3+1+1+1+3+1</f>
        <v>20</v>
      </c>
      <c r="F82" s="38">
        <v>32.65</v>
      </c>
      <c r="G82" s="39">
        <f t="shared" si="5"/>
        <v>653</v>
      </c>
      <c r="H82" s="39">
        <f t="shared" si="3"/>
        <v>799.7290999999999</v>
      </c>
    </row>
    <row r="83" spans="1:8" ht="30">
      <c r="A83" s="34" t="s">
        <v>195</v>
      </c>
      <c r="B83" s="83" t="s">
        <v>196</v>
      </c>
      <c r="C83" s="47" t="s">
        <v>197</v>
      </c>
      <c r="D83" s="37" t="s">
        <v>23</v>
      </c>
      <c r="E83" s="81">
        <f>2+3+2+2+3+5+3+5+2+1+3</f>
        <v>31</v>
      </c>
      <c r="F83" s="67">
        <v>151.81</v>
      </c>
      <c r="G83" s="39">
        <f t="shared" si="5"/>
        <v>4706.1099999999997</v>
      </c>
      <c r="H83" s="39">
        <f t="shared" si="3"/>
        <v>5763.5729169999995</v>
      </c>
    </row>
    <row r="84" spans="1:8" ht="30">
      <c r="A84" s="34" t="s">
        <v>198</v>
      </c>
      <c r="B84" s="83" t="s">
        <v>199</v>
      </c>
      <c r="C84" s="47" t="s">
        <v>200</v>
      </c>
      <c r="D84" s="37" t="s">
        <v>23</v>
      </c>
      <c r="E84" s="81">
        <f>16+8+6+8+10+5+8+5+3+8</f>
        <v>77</v>
      </c>
      <c r="F84" s="67">
        <v>207.64</v>
      </c>
      <c r="G84" s="39">
        <f t="shared" si="5"/>
        <v>15988.279999999999</v>
      </c>
      <c r="H84" s="39">
        <f t="shared" si="3"/>
        <v>19580.846515999998</v>
      </c>
    </row>
    <row r="85" spans="1:8">
      <c r="A85" s="34" t="s">
        <v>201</v>
      </c>
      <c r="B85" s="49" t="s">
        <v>202</v>
      </c>
      <c r="C85" s="54" t="s">
        <v>203</v>
      </c>
      <c r="D85" s="37" t="s">
        <v>23</v>
      </c>
      <c r="E85" s="81">
        <f>3+3+2+2+5+3+2+2+1+3</f>
        <v>26</v>
      </c>
      <c r="F85" s="77">
        <v>27.29</v>
      </c>
      <c r="G85" s="39">
        <f t="shared" si="5"/>
        <v>709.54</v>
      </c>
      <c r="H85" s="39">
        <f t="shared" si="3"/>
        <v>868.97363799999994</v>
      </c>
    </row>
    <row r="86" spans="1:8" ht="45">
      <c r="A86" s="34" t="s">
        <v>204</v>
      </c>
      <c r="B86" s="83">
        <v>83479</v>
      </c>
      <c r="C86" s="54" t="s">
        <v>205</v>
      </c>
      <c r="D86" s="37" t="s">
        <v>23</v>
      </c>
      <c r="E86" s="81">
        <f>3+3+2+2+2+1+3+1+2+3</f>
        <v>22</v>
      </c>
      <c r="F86" s="77">
        <v>223.92</v>
      </c>
      <c r="G86" s="39">
        <f t="shared" si="5"/>
        <v>4926.24</v>
      </c>
      <c r="H86" s="39">
        <f t="shared" ref="H86:H117" si="6">G86*(1+$H$19)</f>
        <v>6033.1661279999989</v>
      </c>
    </row>
    <row r="87" spans="1:8" ht="30">
      <c r="A87" s="34" t="s">
        <v>206</v>
      </c>
      <c r="B87" s="83">
        <v>91836</v>
      </c>
      <c r="C87" s="47" t="s">
        <v>207</v>
      </c>
      <c r="D87" s="37" t="s">
        <v>65</v>
      </c>
      <c r="E87" s="81">
        <f>50+50+50+50+50+50+50+50+50</f>
        <v>450</v>
      </c>
      <c r="F87" s="77">
        <v>10.26</v>
      </c>
      <c r="G87" s="39">
        <f t="shared" si="5"/>
        <v>4617</v>
      </c>
      <c r="H87" s="39">
        <f t="shared" si="6"/>
        <v>5654.4398999999994</v>
      </c>
    </row>
    <row r="88" spans="1:8" ht="30">
      <c r="A88" s="34" t="s">
        <v>208</v>
      </c>
      <c r="B88" s="83">
        <v>91856</v>
      </c>
      <c r="C88" s="54" t="s">
        <v>209</v>
      </c>
      <c r="D88" s="37" t="s">
        <v>65</v>
      </c>
      <c r="E88" s="81">
        <f>50+50+50+50+50+50+50+50+50+50</f>
        <v>500</v>
      </c>
      <c r="F88" s="67">
        <v>9.3000000000000007</v>
      </c>
      <c r="G88" s="39">
        <f t="shared" si="5"/>
        <v>4650</v>
      </c>
      <c r="H88" s="39">
        <f t="shared" si="6"/>
        <v>5694.8549999999996</v>
      </c>
    </row>
    <row r="89" spans="1:8" ht="30">
      <c r="A89" s="34" t="s">
        <v>210</v>
      </c>
      <c r="B89" s="83">
        <v>91924</v>
      </c>
      <c r="C89" s="54" t="s">
        <v>211</v>
      </c>
      <c r="D89" s="37" t="s">
        <v>65</v>
      </c>
      <c r="E89" s="81">
        <f>100+100+100+100+100+100+100+100+100+100</f>
        <v>1000</v>
      </c>
      <c r="F89" s="67">
        <v>2.69</v>
      </c>
      <c r="G89" s="39">
        <f t="shared" si="5"/>
        <v>2690</v>
      </c>
      <c r="H89" s="39">
        <f t="shared" si="6"/>
        <v>3294.4429999999998</v>
      </c>
    </row>
    <row r="90" spans="1:8" ht="30">
      <c r="A90" s="34" t="s">
        <v>212</v>
      </c>
      <c r="B90" s="83">
        <v>91926</v>
      </c>
      <c r="C90" s="54" t="s">
        <v>213</v>
      </c>
      <c r="D90" s="37" t="s">
        <v>65</v>
      </c>
      <c r="E90" s="81">
        <f>100+100+100+100+100+100+100+100+100+100</f>
        <v>1000</v>
      </c>
      <c r="F90" s="77">
        <v>4.01</v>
      </c>
      <c r="G90" s="39">
        <f t="shared" si="5"/>
        <v>4010</v>
      </c>
      <c r="H90" s="39">
        <f t="shared" si="6"/>
        <v>4911.0469999999996</v>
      </c>
    </row>
    <row r="91" spans="1:8" ht="30">
      <c r="A91" s="34" t="s">
        <v>214</v>
      </c>
      <c r="B91" s="83">
        <v>91929</v>
      </c>
      <c r="C91" s="54" t="s">
        <v>215</v>
      </c>
      <c r="D91" s="37" t="s">
        <v>65</v>
      </c>
      <c r="E91" s="81">
        <f>100+100+100+100+100+100+100+100+100+100</f>
        <v>1000</v>
      </c>
      <c r="F91" s="67">
        <v>7.7</v>
      </c>
      <c r="G91" s="39">
        <f t="shared" si="5"/>
        <v>7700</v>
      </c>
      <c r="H91" s="39">
        <f t="shared" si="6"/>
        <v>9430.1899999999987</v>
      </c>
    </row>
    <row r="92" spans="1:8" ht="30">
      <c r="A92" s="34" t="s">
        <v>216</v>
      </c>
      <c r="B92" s="83">
        <v>92001</v>
      </c>
      <c r="C92" s="47" t="s">
        <v>217</v>
      </c>
      <c r="D92" s="37" t="s">
        <v>23</v>
      </c>
      <c r="E92" s="81">
        <f>6+8+3+2+15+5+5+5+3+8</f>
        <v>60</v>
      </c>
      <c r="F92" s="77">
        <v>15.36</v>
      </c>
      <c r="G92" s="39">
        <f t="shared" si="5"/>
        <v>921.59999999999991</v>
      </c>
      <c r="H92" s="39">
        <f t="shared" si="6"/>
        <v>1128.6835199999998</v>
      </c>
    </row>
    <row r="93" spans="1:8" ht="30">
      <c r="A93" s="34" t="s">
        <v>218</v>
      </c>
      <c r="B93" s="83">
        <v>92009</v>
      </c>
      <c r="C93" s="47" t="s">
        <v>219</v>
      </c>
      <c r="D93" s="37" t="s">
        <v>23</v>
      </c>
      <c r="E93" s="81">
        <f>6+5+6+8+22+12+10+10+2+10</f>
        <v>91</v>
      </c>
      <c r="F93" s="67">
        <v>23.82</v>
      </c>
      <c r="G93" s="39">
        <f t="shared" si="5"/>
        <v>2167.62</v>
      </c>
      <c r="H93" s="39">
        <f t="shared" si="6"/>
        <v>2654.6842139999994</v>
      </c>
    </row>
    <row r="94" spans="1:8" ht="30">
      <c r="A94" s="34" t="s">
        <v>220</v>
      </c>
      <c r="B94" s="83">
        <v>91993</v>
      </c>
      <c r="C94" s="47" t="s">
        <v>221</v>
      </c>
      <c r="D94" s="37" t="s">
        <v>23</v>
      </c>
      <c r="E94" s="81">
        <f>3+3+3+2+6+2+2+2+2+3</f>
        <v>28</v>
      </c>
      <c r="F94" s="77">
        <v>39.03</v>
      </c>
      <c r="G94" s="39">
        <f t="shared" si="5"/>
        <v>1092.8400000000001</v>
      </c>
      <c r="H94" s="39">
        <f t="shared" si="6"/>
        <v>1338.4011480000001</v>
      </c>
    </row>
    <row r="95" spans="1:8" ht="30">
      <c r="A95" s="34" t="s">
        <v>222</v>
      </c>
      <c r="B95" s="83">
        <v>92005</v>
      </c>
      <c r="C95" s="47" t="s">
        <v>223</v>
      </c>
      <c r="D95" s="37" t="s">
        <v>23</v>
      </c>
      <c r="E95" s="81">
        <f>2+2+1+1+2+1+1+1+2+2</f>
        <v>15</v>
      </c>
      <c r="F95" s="67">
        <v>32.92</v>
      </c>
      <c r="G95" s="39">
        <f t="shared" si="5"/>
        <v>493.8</v>
      </c>
      <c r="H95" s="39">
        <f t="shared" si="6"/>
        <v>604.75685999999996</v>
      </c>
    </row>
    <row r="96" spans="1:8">
      <c r="A96" s="34" t="s">
        <v>224</v>
      </c>
      <c r="B96" s="83" t="s">
        <v>225</v>
      </c>
      <c r="C96" s="47" t="s">
        <v>226</v>
      </c>
      <c r="D96" s="37" t="s">
        <v>65</v>
      </c>
      <c r="E96" s="81">
        <v>100</v>
      </c>
      <c r="F96" s="77">
        <v>44.12</v>
      </c>
      <c r="G96" s="39">
        <f t="shared" si="5"/>
        <v>4412</v>
      </c>
      <c r="H96" s="39">
        <f t="shared" si="6"/>
        <v>5403.3763999999992</v>
      </c>
    </row>
    <row r="97" spans="1:8" ht="30">
      <c r="A97" s="34" t="s">
        <v>227</v>
      </c>
      <c r="B97" s="83" t="s">
        <v>228</v>
      </c>
      <c r="C97" s="54" t="s">
        <v>229</v>
      </c>
      <c r="D97" s="37" t="s">
        <v>23</v>
      </c>
      <c r="E97" s="81">
        <f>5+5+5+5+5+5+5+5+8+5</f>
        <v>53</v>
      </c>
      <c r="F97" s="67">
        <v>33.64</v>
      </c>
      <c r="G97" s="39">
        <f t="shared" si="5"/>
        <v>1782.92</v>
      </c>
      <c r="H97" s="39">
        <f t="shared" si="6"/>
        <v>2183.5421240000001</v>
      </c>
    </row>
    <row r="98" spans="1:8" ht="15.75">
      <c r="A98" s="78" t="s">
        <v>230</v>
      </c>
      <c r="B98" s="84" t="s">
        <v>231</v>
      </c>
      <c r="C98" s="84"/>
      <c r="D98" s="84"/>
      <c r="E98" s="84"/>
      <c r="F98" s="41"/>
      <c r="G98" s="42">
        <f>SUM(G99)</f>
        <v>18719.579999999998</v>
      </c>
      <c r="H98" s="42">
        <f t="shared" si="6"/>
        <v>22925.869625999996</v>
      </c>
    </row>
    <row r="99" spans="1:8" ht="15.75">
      <c r="A99" s="79" t="s">
        <v>232</v>
      </c>
      <c r="B99" s="82" t="s">
        <v>233</v>
      </c>
      <c r="C99" s="82"/>
      <c r="D99" s="82"/>
      <c r="E99" s="82"/>
      <c r="F99" s="45"/>
      <c r="G99" s="46">
        <f>SUM(G100:G101)</f>
        <v>18719.579999999998</v>
      </c>
      <c r="H99" s="46">
        <f t="shared" si="6"/>
        <v>22925.869625999996</v>
      </c>
    </row>
    <row r="100" spans="1:8" ht="30">
      <c r="A100" s="34" t="s">
        <v>234</v>
      </c>
      <c r="B100" s="83" t="s">
        <v>235</v>
      </c>
      <c r="C100" s="85" t="s">
        <v>236</v>
      </c>
      <c r="D100" s="37" t="s">
        <v>23</v>
      </c>
      <c r="E100" s="81">
        <f>5+3+3+3+5+5+3+3+4+8</f>
        <v>42</v>
      </c>
      <c r="F100" s="67">
        <v>311.94</v>
      </c>
      <c r="G100" s="39">
        <f>E100*F100</f>
        <v>13101.48</v>
      </c>
      <c r="H100" s="39">
        <f t="shared" si="6"/>
        <v>16045.382555999999</v>
      </c>
    </row>
    <row r="101" spans="1:8">
      <c r="A101" s="34" t="s">
        <v>237</v>
      </c>
      <c r="B101" s="83" t="s">
        <v>238</v>
      </c>
      <c r="C101" s="85" t="s">
        <v>239</v>
      </c>
      <c r="D101" s="37" t="s">
        <v>65</v>
      </c>
      <c r="E101" s="81">
        <f>80+80+60+80+80+70+60+60+20+325</f>
        <v>915</v>
      </c>
      <c r="F101" s="50">
        <v>6.14</v>
      </c>
      <c r="G101" s="39">
        <f>E101*F101</f>
        <v>5618.0999999999995</v>
      </c>
      <c r="H101" s="39">
        <f t="shared" si="6"/>
        <v>6880.4870699999992</v>
      </c>
    </row>
    <row r="102" spans="1:8" ht="15.75">
      <c r="A102" s="78" t="s">
        <v>240</v>
      </c>
      <c r="B102" s="84" t="s">
        <v>241</v>
      </c>
      <c r="C102" s="84"/>
      <c r="D102" s="84"/>
      <c r="E102" s="84"/>
      <c r="F102" s="86"/>
      <c r="G102" s="87">
        <f>SUM(G103,G106)</f>
        <v>29311.449999999997</v>
      </c>
      <c r="H102" s="87">
        <f t="shared" si="6"/>
        <v>35897.732814999996</v>
      </c>
    </row>
    <row r="103" spans="1:8" ht="15.75">
      <c r="A103" s="79" t="s">
        <v>242</v>
      </c>
      <c r="B103" s="4" t="s">
        <v>243</v>
      </c>
      <c r="C103" s="4"/>
      <c r="D103" s="4"/>
      <c r="E103" s="4"/>
      <c r="F103" s="4"/>
      <c r="G103" s="88">
        <f>SUM(G104:G105)</f>
        <v>0</v>
      </c>
      <c r="H103" s="88">
        <f t="shared" si="6"/>
        <v>0</v>
      </c>
    </row>
    <row r="104" spans="1:8">
      <c r="A104" s="34" t="s">
        <v>244</v>
      </c>
      <c r="B104" s="83"/>
      <c r="C104" s="47"/>
      <c r="D104" s="37"/>
      <c r="E104" s="81"/>
      <c r="F104" s="81"/>
      <c r="G104" s="39">
        <f>E104*F104</f>
        <v>0</v>
      </c>
      <c r="H104" s="39">
        <f t="shared" si="6"/>
        <v>0</v>
      </c>
    </row>
    <row r="105" spans="1:8">
      <c r="A105" s="34" t="s">
        <v>245</v>
      </c>
      <c r="B105" s="35"/>
      <c r="C105" s="89"/>
      <c r="D105" s="37"/>
      <c r="E105" s="81"/>
      <c r="F105" s="81"/>
      <c r="G105" s="39">
        <f>E105*F105</f>
        <v>0</v>
      </c>
      <c r="H105" s="39">
        <f t="shared" si="6"/>
        <v>0</v>
      </c>
    </row>
    <row r="106" spans="1:8" ht="15.75">
      <c r="A106" s="79" t="s">
        <v>246</v>
      </c>
      <c r="B106" s="82" t="s">
        <v>247</v>
      </c>
      <c r="C106" s="82"/>
      <c r="D106" s="82"/>
      <c r="E106" s="82"/>
      <c r="F106" s="90"/>
      <c r="G106" s="91">
        <f>SUM(G107:G129)</f>
        <v>29311.449999999997</v>
      </c>
      <c r="H106" s="91">
        <f t="shared" si="6"/>
        <v>35897.732814999996</v>
      </c>
    </row>
    <row r="107" spans="1:8" ht="30">
      <c r="A107" s="34" t="s">
        <v>248</v>
      </c>
      <c r="B107" s="35" t="s">
        <v>249</v>
      </c>
      <c r="C107" s="47" t="s">
        <v>250</v>
      </c>
      <c r="D107" s="37" t="s">
        <v>65</v>
      </c>
      <c r="E107" s="81">
        <f>250</f>
        <v>250</v>
      </c>
      <c r="F107" s="38">
        <v>17.260000000000002</v>
      </c>
      <c r="G107" s="39">
        <f t="shared" ref="G107:G129" si="7">E107*F107</f>
        <v>4315</v>
      </c>
      <c r="H107" s="39">
        <f t="shared" si="6"/>
        <v>5284.5804999999991</v>
      </c>
    </row>
    <row r="108" spans="1:8" ht="45">
      <c r="A108" s="34" t="s">
        <v>251</v>
      </c>
      <c r="B108" s="35" t="s">
        <v>252</v>
      </c>
      <c r="C108" s="47" t="s">
        <v>253</v>
      </c>
      <c r="D108" s="37" t="s">
        <v>23</v>
      </c>
      <c r="E108" s="81">
        <f>10</f>
        <v>10</v>
      </c>
      <c r="F108" s="38">
        <v>5.31</v>
      </c>
      <c r="G108" s="39">
        <f t="shared" si="7"/>
        <v>53.099999999999994</v>
      </c>
      <c r="H108" s="39">
        <f t="shared" si="6"/>
        <v>65.031569999999988</v>
      </c>
    </row>
    <row r="109" spans="1:8">
      <c r="A109" s="34" t="s">
        <v>254</v>
      </c>
      <c r="B109" s="35" t="s">
        <v>255</v>
      </c>
      <c r="C109" s="47" t="s">
        <v>256</v>
      </c>
      <c r="D109" s="37" t="s">
        <v>23</v>
      </c>
      <c r="E109" s="81">
        <f>10</f>
        <v>10</v>
      </c>
      <c r="F109" s="68">
        <v>121.15</v>
      </c>
      <c r="G109" s="39">
        <f t="shared" si="7"/>
        <v>1211.5</v>
      </c>
      <c r="H109" s="39">
        <f t="shared" si="6"/>
        <v>1483.7240499999998</v>
      </c>
    </row>
    <row r="110" spans="1:8" ht="30">
      <c r="A110" s="34" t="s">
        <v>257</v>
      </c>
      <c r="B110" s="35" t="s">
        <v>258</v>
      </c>
      <c r="C110" s="47" t="s">
        <v>259</v>
      </c>
      <c r="D110" s="37" t="s">
        <v>23</v>
      </c>
      <c r="E110" s="81">
        <f>100</f>
        <v>100</v>
      </c>
      <c r="F110" s="38">
        <v>9.61</v>
      </c>
      <c r="G110" s="39">
        <f t="shared" si="7"/>
        <v>961</v>
      </c>
      <c r="H110" s="39">
        <f t="shared" si="6"/>
        <v>1176.9367</v>
      </c>
    </row>
    <row r="111" spans="1:8" ht="30">
      <c r="A111" s="34" t="s">
        <v>260</v>
      </c>
      <c r="B111" s="35" t="s">
        <v>261</v>
      </c>
      <c r="C111" s="47" t="s">
        <v>262</v>
      </c>
      <c r="D111" s="37" t="s">
        <v>23</v>
      </c>
      <c r="E111" s="81">
        <f>100</f>
        <v>100</v>
      </c>
      <c r="F111" s="38">
        <v>6.81</v>
      </c>
      <c r="G111" s="39">
        <f t="shared" si="7"/>
        <v>681</v>
      </c>
      <c r="H111" s="39">
        <f t="shared" si="6"/>
        <v>834.02069999999992</v>
      </c>
    </row>
    <row r="112" spans="1:8" ht="30">
      <c r="A112" s="34" t="s">
        <v>263</v>
      </c>
      <c r="B112" s="35" t="s">
        <v>264</v>
      </c>
      <c r="C112" s="47" t="s">
        <v>265</v>
      </c>
      <c r="D112" s="37" t="s">
        <v>23</v>
      </c>
      <c r="E112" s="81">
        <f>100</f>
        <v>100</v>
      </c>
      <c r="F112" s="38">
        <v>5.2</v>
      </c>
      <c r="G112" s="39">
        <f t="shared" si="7"/>
        <v>520</v>
      </c>
      <c r="H112" s="39">
        <f t="shared" si="6"/>
        <v>636.84399999999994</v>
      </c>
    </row>
    <row r="113" spans="1:10" ht="30">
      <c r="A113" s="34" t="s">
        <v>266</v>
      </c>
      <c r="B113" s="35" t="s">
        <v>267</v>
      </c>
      <c r="C113" s="47" t="s">
        <v>268</v>
      </c>
      <c r="D113" s="37" t="s">
        <v>23</v>
      </c>
      <c r="E113" s="81">
        <f>100</f>
        <v>100</v>
      </c>
      <c r="F113" s="38">
        <v>7.6</v>
      </c>
      <c r="G113" s="39">
        <f t="shared" si="7"/>
        <v>760</v>
      </c>
      <c r="H113" s="39">
        <f t="shared" si="6"/>
        <v>930.77199999999993</v>
      </c>
    </row>
    <row r="114" spans="1:10" ht="30">
      <c r="A114" s="34" t="s">
        <v>269</v>
      </c>
      <c r="B114" s="35" t="s">
        <v>270</v>
      </c>
      <c r="C114" s="47" t="s">
        <v>271</v>
      </c>
      <c r="D114" s="37" t="s">
        <v>23</v>
      </c>
      <c r="E114" s="81">
        <f>100</f>
        <v>100</v>
      </c>
      <c r="F114" s="50">
        <v>5.16</v>
      </c>
      <c r="G114" s="39">
        <f t="shared" si="7"/>
        <v>516</v>
      </c>
      <c r="H114" s="39">
        <f t="shared" si="6"/>
        <v>631.9452</v>
      </c>
    </row>
    <row r="115" spans="1:10">
      <c r="A115" s="34" t="s">
        <v>272</v>
      </c>
      <c r="B115" s="35" t="s">
        <v>273</v>
      </c>
      <c r="C115" s="47" t="s">
        <v>274</v>
      </c>
      <c r="D115" s="37" t="s">
        <v>23</v>
      </c>
      <c r="E115" s="81">
        <v>20</v>
      </c>
      <c r="F115" s="38">
        <v>107.26</v>
      </c>
      <c r="G115" s="39">
        <f t="shared" si="7"/>
        <v>2145.2000000000003</v>
      </c>
      <c r="H115" s="39">
        <f t="shared" si="6"/>
        <v>2627.2264399999999</v>
      </c>
      <c r="J115" s="92"/>
    </row>
    <row r="116" spans="1:10" ht="30">
      <c r="A116" s="34" t="s">
        <v>275</v>
      </c>
      <c r="B116" s="35" t="s">
        <v>276</v>
      </c>
      <c r="C116" s="47" t="s">
        <v>277</v>
      </c>
      <c r="D116" s="37" t="s">
        <v>65</v>
      </c>
      <c r="E116" s="81">
        <v>10</v>
      </c>
      <c r="F116" s="38">
        <v>16.940000000000001</v>
      </c>
      <c r="G116" s="39">
        <f t="shared" si="7"/>
        <v>169.4</v>
      </c>
      <c r="H116" s="39">
        <f t="shared" si="6"/>
        <v>207.46418</v>
      </c>
    </row>
    <row r="117" spans="1:10" ht="45">
      <c r="A117" s="34" t="s">
        <v>278</v>
      </c>
      <c r="B117" s="35" t="s">
        <v>279</v>
      </c>
      <c r="C117" s="47" t="s">
        <v>280</v>
      </c>
      <c r="D117" s="37" t="s">
        <v>23</v>
      </c>
      <c r="E117" s="81">
        <f>100</f>
        <v>100</v>
      </c>
      <c r="F117" s="68">
        <v>9.26</v>
      </c>
      <c r="G117" s="39">
        <f t="shared" si="7"/>
        <v>926</v>
      </c>
      <c r="H117" s="39">
        <f t="shared" si="6"/>
        <v>1134.0721999999998</v>
      </c>
    </row>
    <row r="118" spans="1:10" ht="45">
      <c r="A118" s="34" t="s">
        <v>281</v>
      </c>
      <c r="B118" s="35" t="s">
        <v>282</v>
      </c>
      <c r="C118" s="47" t="s">
        <v>283</v>
      </c>
      <c r="D118" s="37" t="s">
        <v>23</v>
      </c>
      <c r="E118" s="81">
        <f>100</f>
        <v>100</v>
      </c>
      <c r="F118" s="68">
        <v>10.050000000000001</v>
      </c>
      <c r="G118" s="39">
        <f t="shared" si="7"/>
        <v>1005.0000000000001</v>
      </c>
      <c r="H118" s="39">
        <f t="shared" ref="H118:H149" si="8">G118*(1+$H$19)</f>
        <v>1230.8235</v>
      </c>
    </row>
    <row r="119" spans="1:10" ht="45">
      <c r="A119" s="34" t="s">
        <v>284</v>
      </c>
      <c r="B119" s="35" t="s">
        <v>285</v>
      </c>
      <c r="C119" s="47" t="s">
        <v>286</v>
      </c>
      <c r="D119" s="37" t="s">
        <v>23</v>
      </c>
      <c r="E119" s="81">
        <f>100</f>
        <v>100</v>
      </c>
      <c r="F119" s="68">
        <v>17.46</v>
      </c>
      <c r="G119" s="39">
        <f t="shared" si="7"/>
        <v>1746</v>
      </c>
      <c r="H119" s="39">
        <f t="shared" si="8"/>
        <v>2138.3262</v>
      </c>
    </row>
    <row r="120" spans="1:10" ht="30">
      <c r="A120" s="34" t="s">
        <v>287</v>
      </c>
      <c r="B120" s="35" t="s">
        <v>288</v>
      </c>
      <c r="C120" s="47" t="s">
        <v>289</v>
      </c>
      <c r="D120" s="37" t="s">
        <v>23</v>
      </c>
      <c r="E120" s="81">
        <f>100</f>
        <v>100</v>
      </c>
      <c r="F120" s="38">
        <v>10.59</v>
      </c>
      <c r="G120" s="39">
        <f t="shared" si="7"/>
        <v>1059</v>
      </c>
      <c r="H120" s="39">
        <f t="shared" si="8"/>
        <v>1296.9572999999998</v>
      </c>
    </row>
    <row r="121" spans="1:10" ht="30">
      <c r="A121" s="34" t="s">
        <v>290</v>
      </c>
      <c r="B121" s="35" t="s">
        <v>291</v>
      </c>
      <c r="C121" s="47" t="s">
        <v>292</v>
      </c>
      <c r="D121" s="37" t="s">
        <v>65</v>
      </c>
      <c r="E121" s="81">
        <v>15</v>
      </c>
      <c r="F121" s="38">
        <v>49.43</v>
      </c>
      <c r="G121" s="39">
        <f t="shared" si="7"/>
        <v>741.45</v>
      </c>
      <c r="H121" s="39">
        <f t="shared" si="8"/>
        <v>908.05381499999999</v>
      </c>
    </row>
    <row r="122" spans="1:10" ht="30">
      <c r="A122" s="34" t="s">
        <v>293</v>
      </c>
      <c r="B122" s="35" t="s">
        <v>294</v>
      </c>
      <c r="C122" s="47" t="s">
        <v>295</v>
      </c>
      <c r="D122" s="37" t="s">
        <v>23</v>
      </c>
      <c r="E122" s="71">
        <f>30</f>
        <v>30</v>
      </c>
      <c r="F122" s="38">
        <v>7.75</v>
      </c>
      <c r="G122" s="39">
        <f t="shared" si="7"/>
        <v>232.5</v>
      </c>
      <c r="H122" s="39">
        <f t="shared" si="8"/>
        <v>284.74275</v>
      </c>
    </row>
    <row r="123" spans="1:10">
      <c r="A123" s="34" t="s">
        <v>296</v>
      </c>
      <c r="B123" s="35" t="s">
        <v>297</v>
      </c>
      <c r="C123" s="47" t="s">
        <v>298</v>
      </c>
      <c r="D123" s="37" t="s">
        <v>23</v>
      </c>
      <c r="E123" s="81">
        <f>30</f>
        <v>30</v>
      </c>
      <c r="F123" s="38">
        <v>11.15</v>
      </c>
      <c r="G123" s="39">
        <f t="shared" si="7"/>
        <v>334.5</v>
      </c>
      <c r="H123" s="39">
        <f t="shared" si="8"/>
        <v>409.66214999999994</v>
      </c>
    </row>
    <row r="124" spans="1:10">
      <c r="A124" s="34" t="s">
        <v>299</v>
      </c>
      <c r="B124" s="93" t="s">
        <v>300</v>
      </c>
      <c r="C124" s="47" t="s">
        <v>301</v>
      </c>
      <c r="D124" s="37" t="s">
        <v>23</v>
      </c>
      <c r="E124" s="81">
        <f>30</f>
        <v>30</v>
      </c>
      <c r="F124" s="38">
        <v>16.059999999999999</v>
      </c>
      <c r="G124" s="39">
        <f t="shared" si="7"/>
        <v>481.79999999999995</v>
      </c>
      <c r="H124" s="39">
        <f t="shared" si="8"/>
        <v>590.06045999999992</v>
      </c>
    </row>
    <row r="125" spans="1:10" ht="30">
      <c r="A125" s="34" t="s">
        <v>302</v>
      </c>
      <c r="B125" s="35" t="s">
        <v>303</v>
      </c>
      <c r="C125" s="47" t="s">
        <v>304</v>
      </c>
      <c r="D125" s="37" t="s">
        <v>23</v>
      </c>
      <c r="E125" s="81">
        <f>10</f>
        <v>10</v>
      </c>
      <c r="F125" s="38">
        <v>146.9</v>
      </c>
      <c r="G125" s="39">
        <f t="shared" si="7"/>
        <v>1469</v>
      </c>
      <c r="H125" s="39">
        <f t="shared" si="8"/>
        <v>1799.0842999999998</v>
      </c>
    </row>
    <row r="126" spans="1:10">
      <c r="A126" s="34" t="s">
        <v>305</v>
      </c>
      <c r="B126" s="93" t="s">
        <v>306</v>
      </c>
      <c r="C126" s="47" t="s">
        <v>307</v>
      </c>
      <c r="D126" s="37" t="s">
        <v>23</v>
      </c>
      <c r="E126" s="81">
        <f>10</f>
        <v>10</v>
      </c>
      <c r="F126" s="38">
        <v>265.89</v>
      </c>
      <c r="G126" s="39">
        <f t="shared" si="7"/>
        <v>2658.8999999999996</v>
      </c>
      <c r="H126" s="39">
        <f t="shared" si="8"/>
        <v>3256.3548299999993</v>
      </c>
    </row>
    <row r="127" spans="1:10">
      <c r="A127" s="34" t="s">
        <v>308</v>
      </c>
      <c r="B127" s="35" t="s">
        <v>309</v>
      </c>
      <c r="C127" s="47" t="s">
        <v>310</v>
      </c>
      <c r="D127" s="37" t="s">
        <v>23</v>
      </c>
      <c r="E127" s="81">
        <f>30</f>
        <v>30</v>
      </c>
      <c r="F127" s="38">
        <v>68.260000000000005</v>
      </c>
      <c r="G127" s="39">
        <f t="shared" si="7"/>
        <v>2047.8000000000002</v>
      </c>
      <c r="H127" s="39">
        <f t="shared" si="8"/>
        <v>2507.9406600000002</v>
      </c>
    </row>
    <row r="128" spans="1:10">
      <c r="A128" s="34" t="s">
        <v>311</v>
      </c>
      <c r="B128" s="93" t="s">
        <v>312</v>
      </c>
      <c r="C128" s="47" t="s">
        <v>313</v>
      </c>
      <c r="D128" s="37" t="s">
        <v>23</v>
      </c>
      <c r="E128" s="81">
        <f>30</f>
        <v>30</v>
      </c>
      <c r="F128" s="50">
        <v>55.01</v>
      </c>
      <c r="G128" s="39">
        <f t="shared" si="7"/>
        <v>1650.3</v>
      </c>
      <c r="H128" s="39">
        <f t="shared" si="8"/>
        <v>2021.1224099999997</v>
      </c>
    </row>
    <row r="129" spans="1:8">
      <c r="A129" s="34" t="s">
        <v>314</v>
      </c>
      <c r="B129" s="35" t="s">
        <v>32</v>
      </c>
      <c r="C129" s="47" t="s">
        <v>315</v>
      </c>
      <c r="D129" s="37" t="s">
        <v>23</v>
      </c>
      <c r="E129" s="81">
        <f>30</f>
        <v>30</v>
      </c>
      <c r="F129" s="50">
        <v>120.9</v>
      </c>
      <c r="G129" s="39">
        <f t="shared" si="7"/>
        <v>3627</v>
      </c>
      <c r="H129" s="39">
        <f t="shared" si="8"/>
        <v>4441.9868999999999</v>
      </c>
    </row>
    <row r="130" spans="1:8" ht="15.75">
      <c r="A130" s="78" t="s">
        <v>316</v>
      </c>
      <c r="B130" s="84" t="s">
        <v>317</v>
      </c>
      <c r="C130" s="84"/>
      <c r="D130" s="84"/>
      <c r="E130" s="84"/>
      <c r="F130" s="94"/>
      <c r="G130" s="87">
        <f>SUM(G131,G136)</f>
        <v>20114.8</v>
      </c>
      <c r="H130" s="87">
        <f t="shared" si="8"/>
        <v>24634.595559999998</v>
      </c>
    </row>
    <row r="131" spans="1:8" ht="15.75">
      <c r="A131" s="79" t="s">
        <v>318</v>
      </c>
      <c r="B131" s="82" t="s">
        <v>319</v>
      </c>
      <c r="C131" s="82"/>
      <c r="D131" s="82"/>
      <c r="E131" s="82"/>
      <c r="F131" s="95"/>
      <c r="G131" s="91">
        <f>SUM(G132:G135)</f>
        <v>12253.6</v>
      </c>
      <c r="H131" s="91">
        <f t="shared" si="8"/>
        <v>15006.983919999999</v>
      </c>
    </row>
    <row r="132" spans="1:8">
      <c r="A132" s="34" t="s">
        <v>320</v>
      </c>
      <c r="B132" s="35" t="s">
        <v>321</v>
      </c>
      <c r="C132" s="85" t="s">
        <v>322</v>
      </c>
      <c r="D132" s="37" t="s">
        <v>23</v>
      </c>
      <c r="E132" s="81">
        <f>20</f>
        <v>20</v>
      </c>
      <c r="F132" s="51">
        <v>14.05</v>
      </c>
      <c r="G132" s="39">
        <f>E132*F132</f>
        <v>281</v>
      </c>
      <c r="H132" s="39">
        <f t="shared" si="8"/>
        <v>344.14069999999998</v>
      </c>
    </row>
    <row r="133" spans="1:8" ht="30">
      <c r="A133" s="34" t="s">
        <v>323</v>
      </c>
      <c r="B133" s="35" t="s">
        <v>324</v>
      </c>
      <c r="C133" s="85" t="s">
        <v>325</v>
      </c>
      <c r="D133" s="37" t="s">
        <v>23</v>
      </c>
      <c r="E133" s="81">
        <f>10</f>
        <v>10</v>
      </c>
      <c r="F133" s="51">
        <v>343.83</v>
      </c>
      <c r="G133" s="39">
        <f>E133*F133</f>
        <v>3438.2999999999997</v>
      </c>
      <c r="H133" s="39">
        <f t="shared" si="8"/>
        <v>4210.8860099999993</v>
      </c>
    </row>
    <row r="134" spans="1:8" ht="45">
      <c r="A134" s="34" t="s">
        <v>326</v>
      </c>
      <c r="B134" s="35" t="s">
        <v>32</v>
      </c>
      <c r="C134" s="85" t="s">
        <v>327</v>
      </c>
      <c r="D134" s="37" t="s">
        <v>23</v>
      </c>
      <c r="E134" s="81">
        <f>10</f>
        <v>10</v>
      </c>
      <c r="F134" s="51">
        <v>692.09</v>
      </c>
      <c r="G134" s="39">
        <f>E134*F134</f>
        <v>6920.9000000000005</v>
      </c>
      <c r="H134" s="39">
        <f t="shared" si="8"/>
        <v>8476.0262299999995</v>
      </c>
    </row>
    <row r="135" spans="1:8" ht="60">
      <c r="A135" s="34" t="s">
        <v>328</v>
      </c>
      <c r="B135" s="35" t="s">
        <v>329</v>
      </c>
      <c r="C135" s="85" t="s">
        <v>330</v>
      </c>
      <c r="D135" s="37" t="s">
        <v>23</v>
      </c>
      <c r="E135" s="81">
        <f>10</f>
        <v>10</v>
      </c>
      <c r="F135" s="51">
        <v>161.34</v>
      </c>
      <c r="G135" s="39">
        <f>E135*F135</f>
        <v>1613.4</v>
      </c>
      <c r="H135" s="39">
        <f t="shared" si="8"/>
        <v>1975.9309799999999</v>
      </c>
    </row>
    <row r="136" spans="1:8" ht="15.75">
      <c r="A136" s="79" t="s">
        <v>331</v>
      </c>
      <c r="B136" s="82" t="s">
        <v>332</v>
      </c>
      <c r="C136" s="82"/>
      <c r="D136" s="82"/>
      <c r="E136" s="82"/>
      <c r="F136" s="95"/>
      <c r="G136" s="88">
        <f>SUM(G137:G140)</f>
        <v>7861.2</v>
      </c>
      <c r="H136" s="88">
        <f t="shared" si="8"/>
        <v>9627.6116399999992</v>
      </c>
    </row>
    <row r="137" spans="1:8" ht="30">
      <c r="A137" s="34" t="s">
        <v>333</v>
      </c>
      <c r="B137" s="35" t="s">
        <v>334</v>
      </c>
      <c r="C137" s="96" t="s">
        <v>335</v>
      </c>
      <c r="D137" s="37" t="s">
        <v>23</v>
      </c>
      <c r="E137" s="97">
        <f>10</f>
        <v>10</v>
      </c>
      <c r="F137" s="77">
        <v>57.63</v>
      </c>
      <c r="G137" s="39">
        <f>E137*F137</f>
        <v>576.30000000000007</v>
      </c>
      <c r="H137" s="39">
        <f t="shared" si="8"/>
        <v>705.79461000000003</v>
      </c>
    </row>
    <row r="138" spans="1:8" ht="30">
      <c r="A138" s="34" t="s">
        <v>336</v>
      </c>
      <c r="B138" s="35" t="s">
        <v>337</v>
      </c>
      <c r="C138" s="96" t="s">
        <v>338</v>
      </c>
      <c r="D138" s="37" t="s">
        <v>23</v>
      </c>
      <c r="E138" s="97">
        <f>10</f>
        <v>10</v>
      </c>
      <c r="F138" s="77">
        <v>93.74</v>
      </c>
      <c r="G138" s="39">
        <f>E138*F138</f>
        <v>937.4</v>
      </c>
      <c r="H138" s="39">
        <f t="shared" si="8"/>
        <v>1148.03378</v>
      </c>
    </row>
    <row r="139" spans="1:8" ht="30">
      <c r="A139" s="34" t="s">
        <v>339</v>
      </c>
      <c r="B139" s="35" t="s">
        <v>340</v>
      </c>
      <c r="C139" s="96" t="s">
        <v>341</v>
      </c>
      <c r="D139" s="37" t="s">
        <v>23</v>
      </c>
      <c r="E139" s="97">
        <f>20</f>
        <v>20</v>
      </c>
      <c r="F139" s="67">
        <v>126.95</v>
      </c>
      <c r="G139" s="39">
        <f>E139*F139</f>
        <v>2539</v>
      </c>
      <c r="H139" s="39">
        <f t="shared" si="8"/>
        <v>3109.5132999999996</v>
      </c>
    </row>
    <row r="140" spans="1:8" ht="30">
      <c r="A140" s="34" t="s">
        <v>342</v>
      </c>
      <c r="B140" s="35" t="s">
        <v>343</v>
      </c>
      <c r="C140" s="96" t="s">
        <v>344</v>
      </c>
      <c r="D140" s="37" t="s">
        <v>23</v>
      </c>
      <c r="E140" s="97">
        <f>30</f>
        <v>30</v>
      </c>
      <c r="F140" s="67">
        <v>126.95</v>
      </c>
      <c r="G140" s="39">
        <f>E140*F140</f>
        <v>3808.5</v>
      </c>
      <c r="H140" s="39">
        <f t="shared" si="8"/>
        <v>4664.2699499999999</v>
      </c>
    </row>
    <row r="141" spans="1:8" ht="15.75">
      <c r="A141" s="78">
        <v>9</v>
      </c>
      <c r="B141" s="59" t="s">
        <v>345</v>
      </c>
      <c r="C141" s="59"/>
      <c r="D141" s="59"/>
      <c r="E141" s="59"/>
      <c r="F141" s="41"/>
      <c r="G141" s="87">
        <f>SUM(G142:G146)</f>
        <v>36825.883900000001</v>
      </c>
      <c r="H141" s="87">
        <f t="shared" si="8"/>
        <v>45100.660012329994</v>
      </c>
    </row>
    <row r="142" spans="1:8" ht="30">
      <c r="A142" s="34" t="s">
        <v>346</v>
      </c>
      <c r="B142" s="35" t="s">
        <v>270</v>
      </c>
      <c r="C142" s="98" t="s">
        <v>347</v>
      </c>
      <c r="D142" s="37" t="s">
        <v>41</v>
      </c>
      <c r="E142" s="37">
        <f>135+147.33+93.69+233.66+318+109.47+267+152.77+104.07+120</f>
        <v>1680.99</v>
      </c>
      <c r="F142" s="39">
        <v>5.07</v>
      </c>
      <c r="G142" s="39">
        <f>E142*F142</f>
        <v>8522.6193000000003</v>
      </c>
      <c r="H142" s="39">
        <f t="shared" si="8"/>
        <v>10437.651856709999</v>
      </c>
    </row>
    <row r="143" spans="1:8" ht="30">
      <c r="A143" s="34" t="s">
        <v>348</v>
      </c>
      <c r="B143" s="35" t="s">
        <v>270</v>
      </c>
      <c r="C143" s="98" t="s">
        <v>349</v>
      </c>
      <c r="D143" s="37" t="s">
        <v>41</v>
      </c>
      <c r="E143" s="37">
        <f>50+50+37.48+40+63.6+32.84+53.4+20+10.41</f>
        <v>357.72999999999996</v>
      </c>
      <c r="F143" s="39">
        <v>6.04</v>
      </c>
      <c r="G143" s="39">
        <f>E143*F143</f>
        <v>2160.6891999999998</v>
      </c>
      <c r="H143" s="39">
        <f t="shared" si="8"/>
        <v>2646.1960632399996</v>
      </c>
    </row>
    <row r="144" spans="1:8" ht="30">
      <c r="A144" s="34" t="s">
        <v>350</v>
      </c>
      <c r="B144" s="35" t="s">
        <v>270</v>
      </c>
      <c r="C144" s="98" t="s">
        <v>351</v>
      </c>
      <c r="D144" s="37" t="s">
        <v>41</v>
      </c>
      <c r="E144" s="37">
        <f>135+50+37.48+40+63.6+32.84+53.4+20+10.41</f>
        <v>442.73000000000008</v>
      </c>
      <c r="F144" s="39">
        <v>28.92</v>
      </c>
      <c r="G144" s="39">
        <f>E144*F144</f>
        <v>12803.751600000003</v>
      </c>
      <c r="H144" s="39">
        <f t="shared" si="8"/>
        <v>15680.754584520002</v>
      </c>
    </row>
    <row r="145" spans="1:9">
      <c r="A145" s="34" t="s">
        <v>352</v>
      </c>
      <c r="B145" s="99" t="s">
        <v>353</v>
      </c>
      <c r="C145" s="100" t="s">
        <v>354</v>
      </c>
      <c r="D145" s="101" t="s">
        <v>41</v>
      </c>
      <c r="E145" s="101">
        <f>135+81.25+50+48.61+63.6+45</f>
        <v>423.46000000000004</v>
      </c>
      <c r="F145" s="102">
        <v>22.03</v>
      </c>
      <c r="G145" s="103">
        <f>E145*F145</f>
        <v>9328.8238000000019</v>
      </c>
      <c r="H145" s="103">
        <f t="shared" si="8"/>
        <v>11425.010507860001</v>
      </c>
    </row>
    <row r="146" spans="1:9">
      <c r="A146" s="104" t="s">
        <v>355</v>
      </c>
      <c r="B146" s="49" t="s">
        <v>356</v>
      </c>
      <c r="C146" s="85" t="s">
        <v>357</v>
      </c>
      <c r="D146" s="70" t="s">
        <v>41</v>
      </c>
      <c r="E146" s="70">
        <v>1000</v>
      </c>
      <c r="F146" s="68">
        <v>4.01</v>
      </c>
      <c r="G146" s="68">
        <f>E146*F146</f>
        <v>4010</v>
      </c>
      <c r="H146" s="68">
        <f t="shared" si="8"/>
        <v>4911.0469999999996</v>
      </c>
    </row>
    <row r="147" spans="1:9" ht="15.75">
      <c r="A147" s="78">
        <v>10</v>
      </c>
      <c r="B147" s="105" t="s">
        <v>358</v>
      </c>
      <c r="C147" s="105"/>
      <c r="D147" s="105"/>
      <c r="E147" s="105"/>
      <c r="F147" s="106"/>
      <c r="G147" s="87">
        <f>SUM(G148:G149)</f>
        <v>6447.3744999999999</v>
      </c>
      <c r="H147" s="87">
        <f t="shared" si="8"/>
        <v>7896.0995501499992</v>
      </c>
    </row>
    <row r="148" spans="1:9">
      <c r="A148" s="34" t="s">
        <v>359</v>
      </c>
      <c r="B148" s="35" t="s">
        <v>360</v>
      </c>
      <c r="C148" s="85" t="s">
        <v>361</v>
      </c>
      <c r="D148" s="37" t="s">
        <v>41</v>
      </c>
      <c r="E148" s="97">
        <f>65+126.96+142.15+333.15+234+177.13+191+200+222.54+150</f>
        <v>1841.9299999999998</v>
      </c>
      <c r="F148" s="67">
        <v>2.65</v>
      </c>
      <c r="G148" s="39">
        <f>SUM(E148*F148)</f>
        <v>4881.1144999999997</v>
      </c>
      <c r="H148" s="39">
        <f t="shared" si="8"/>
        <v>5977.9009281499993</v>
      </c>
    </row>
    <row r="149" spans="1:9">
      <c r="A149" s="34" t="s">
        <v>362</v>
      </c>
      <c r="B149" s="35" t="s">
        <v>363</v>
      </c>
      <c r="C149" s="96" t="s">
        <v>364</v>
      </c>
      <c r="D149" s="37" t="s">
        <v>59</v>
      </c>
      <c r="E149" s="97">
        <f>30+6+6+5+6+6+6+3+3</f>
        <v>71</v>
      </c>
      <c r="F149" s="67">
        <v>22.06</v>
      </c>
      <c r="G149" s="39">
        <f>SUM(E149*F149)</f>
        <v>1566.26</v>
      </c>
      <c r="H149" s="39">
        <f t="shared" si="8"/>
        <v>1918.1986219999999</v>
      </c>
    </row>
    <row r="150" spans="1:9" ht="15.75">
      <c r="A150" s="78">
        <v>11</v>
      </c>
      <c r="B150" s="59" t="s">
        <v>365</v>
      </c>
      <c r="C150" s="59"/>
      <c r="D150" s="59"/>
      <c r="E150" s="59"/>
      <c r="F150" s="41"/>
      <c r="G150" s="107">
        <f>SUM(G151:G151)</f>
        <v>13570.441999999999</v>
      </c>
      <c r="H150" s="107">
        <f t="shared" ref="H150:H181" si="9">G150*(1+$H$19)</f>
        <v>16619.720317399999</v>
      </c>
    </row>
    <row r="151" spans="1:9" ht="30">
      <c r="A151" s="34" t="s">
        <v>366</v>
      </c>
      <c r="B151" s="35" t="s">
        <v>270</v>
      </c>
      <c r="C151" s="96" t="s">
        <v>367</v>
      </c>
      <c r="D151" s="37" t="s">
        <v>368</v>
      </c>
      <c r="E151" s="97">
        <f>245*2+280*2+340.7*2+365*2+243*2+301*2+369*2+466*2+433*2</f>
        <v>6085.4</v>
      </c>
      <c r="F151" s="51">
        <v>2.23</v>
      </c>
      <c r="G151" s="39">
        <f>SUM(E151*F151)</f>
        <v>13570.441999999999</v>
      </c>
      <c r="H151" s="39">
        <f t="shared" si="9"/>
        <v>16619.720317399999</v>
      </c>
    </row>
    <row r="152" spans="1:9" ht="15.75">
      <c r="A152" s="108"/>
      <c r="B152" s="109"/>
      <c r="C152" s="110"/>
      <c r="D152" s="3" t="s">
        <v>369</v>
      </c>
      <c r="E152" s="3"/>
      <c r="F152" s="3"/>
      <c r="G152" s="3"/>
      <c r="H152" s="111">
        <f>SUM(G150,G147,G141,G130,G102,G98,G73,G60,G52,G24,G22)</f>
        <v>493355.46452000004</v>
      </c>
      <c r="I152" s="112"/>
    </row>
    <row r="153" spans="1:9" ht="15.75">
      <c r="A153" s="2" t="s">
        <v>28</v>
      </c>
      <c r="B153" s="2"/>
      <c r="C153" s="2"/>
      <c r="D153" s="2"/>
      <c r="E153" s="2"/>
      <c r="F153" s="2"/>
      <c r="G153" s="2"/>
      <c r="H153" s="113">
        <f>SUM(H150,H147,H141,H130,H102,H98,H73,H60,H52,H24,H22)</f>
        <v>604212.43739764392</v>
      </c>
    </row>
    <row r="154" spans="1:9" ht="15.75">
      <c r="A154" s="114"/>
      <c r="B154" s="1"/>
      <c r="C154" s="1"/>
      <c r="D154" s="1"/>
      <c r="E154" s="1"/>
      <c r="F154" s="1"/>
      <c r="G154" s="1"/>
      <c r="H154" s="1"/>
    </row>
    <row r="155" spans="1:9">
      <c r="A155" s="10" t="s">
        <v>370</v>
      </c>
    </row>
  </sheetData>
  <mergeCells count="23">
    <mergeCell ref="D152:G152"/>
    <mergeCell ref="A153:G153"/>
    <mergeCell ref="B154:H154"/>
    <mergeCell ref="B16:C16"/>
    <mergeCell ref="B17:C17"/>
    <mergeCell ref="A19:G19"/>
    <mergeCell ref="B22:F22"/>
    <mergeCell ref="B103:F103"/>
    <mergeCell ref="B11:C11"/>
    <mergeCell ref="B12:C12"/>
    <mergeCell ref="B13:C13"/>
    <mergeCell ref="B14:C14"/>
    <mergeCell ref="B15:C15"/>
    <mergeCell ref="B6:C6"/>
    <mergeCell ref="B7:C7"/>
    <mergeCell ref="B8:C8"/>
    <mergeCell ref="B9:C9"/>
    <mergeCell ref="B10:C10"/>
    <mergeCell ref="A1:H1"/>
    <mergeCell ref="B2:C2"/>
    <mergeCell ref="B3:C3"/>
    <mergeCell ref="B4:C4"/>
    <mergeCell ref="B5:C5"/>
  </mergeCells>
  <hyperlinks>
    <hyperlink ref="B124" r:id="rId1"/>
    <hyperlink ref="B126" r:id="rId2"/>
    <hyperlink ref="B128" r:id="rId3"/>
  </hyperlinks>
  <printOptions horizontalCentered="1"/>
  <pageMargins left="0.78749999999999998" right="0.78749999999999998" top="1.53541666666667" bottom="0.66874999999999996" header="0.23611111111111099" footer="0.196527777777778"/>
  <pageSetup paperSize="9" scale="41" fitToHeight="0" orientation="portrait" horizontalDpi="300" verticalDpi="300" r:id="rId4"/>
  <headerFooter>
    <oddHeader>&amp;C&amp;16SUPERVISÃO DE OBRAS E REFORMAS - SOR
ANEXO II - TERMO DE REFERÊNCIA</oddHeader>
    <oddFooter>&amp;C&amp;16Rua da Estrela, 421, Centro Histórico- Praia Grande – São Luís/MA – CEP 65010-200
Telefone: (98) 3221-1343 – Fax (98) 3231-0958
Página &amp;P de &amp;N</oddFooter>
  </headerFooter>
  <rowBreaks count="2" manualBreakCount="2">
    <brk id="72" max="16383" man="1"/>
    <brk id="1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5</vt:i4>
      </vt:variant>
    </vt:vector>
  </HeadingPairs>
  <TitlesOfParts>
    <vt:vector size="6" baseType="lpstr">
      <vt:lpstr>MANUT__LOTE_03</vt:lpstr>
      <vt:lpstr>MANUT__LOTE_03!Area_de_impressao</vt:lpstr>
      <vt:lpstr>MANUT__LOTE_03!Excel_BuiltIn__FilterDatabase</vt:lpstr>
      <vt:lpstr>MANUT__LOTE_03!Excel_BuiltIn_Print_Area</vt:lpstr>
      <vt:lpstr>MANUT__LOTE_03!Print_Area_0</vt:lpstr>
      <vt:lpstr>MANUT__LOTE_03!Print_Titles_0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César Rafael Pimentel Esser</dc:creator>
  <dc:description/>
  <cp:lastModifiedBy>Raimundo Eduardo da Silva Farias</cp:lastModifiedBy>
  <cp:revision>6</cp:revision>
  <cp:lastPrinted>2022-03-03T18:13:32Z</cp:lastPrinted>
  <dcterms:created xsi:type="dcterms:W3CDTF">2016-06-27T12:42:06Z</dcterms:created>
  <dcterms:modified xsi:type="dcterms:W3CDTF">2022-06-10T19:51:29Z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